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35" activeTab="0"/>
  </bookViews>
  <sheets>
    <sheet name="Metric Units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<sst xmlns="http://schemas.openxmlformats.org/spreadsheetml/2006/main" count="42" uniqueCount="39">
  <si>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University of Wisconsin-Madison</t>
  </si>
  <si>
    <t>-------------------------------------------------------------------------------</t>
  </si>
  <si>
    <t>Brian Holmes(1) and Richard Muck(2)</t>
  </si>
  <si>
    <t xml:space="preserve">     Spreadsheet to Calculate Average</t>
  </si>
  <si>
    <t xml:space="preserve">     Silage Density in a Bunker Silo(Metric Units)</t>
  </si>
  <si>
    <t>(2) US Dairy Forage Research Center</t>
  </si>
  <si>
    <t>(1) Biological Systems Engineering Dept. and</t>
  </si>
  <si>
    <t>=======================================================================================</t>
  </si>
  <si>
    <t>Holme´s &amp; Muck´s silopackarhjälp</t>
  </si>
  <si>
    <t xml:space="preserve"> beräknar hur tungt och länge du måste packa din plansilo</t>
  </si>
  <si>
    <t>Rekommenderad ts-halt 0,3-0,4</t>
  </si>
  <si>
    <t>Packningstraktor (varje traktor, i kg)</t>
  </si>
  <si>
    <t>Packningstid med traktor (% av fyllningstiden)</t>
  </si>
  <si>
    <t>Traktor  1</t>
  </si>
  <si>
    <t>Traktor  2</t>
  </si>
  <si>
    <t>Traktor  3</t>
  </si>
  <si>
    <t>Traktor  4</t>
  </si>
  <si>
    <t>Typisk traktor vikt är 4 500-27 000 Kg</t>
  </si>
  <si>
    <t>Proportionell total traktorvikt (Kg)=</t>
  </si>
  <si>
    <t>Genomsnittlig silohöjd (meter) =</t>
  </si>
  <si>
    <t>Gröna celler beräknas automatiskt</t>
  </si>
  <si>
    <t>Gula celler ska man fylla i själv</t>
  </si>
  <si>
    <t>Typiska värden är  15-200 ton grm/tim</t>
  </si>
  <si>
    <t>Rekommenderat värde är 15 cm eller mindre</t>
  </si>
  <si>
    <t>Packningsfaktor =</t>
  </si>
  <si>
    <r>
      <t>Beräknad genomsnittlig densitet (Kg ts/m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) </t>
    </r>
  </si>
  <si>
    <t>Maximal densitet som går att uppnå  (Kg ts/m3)</t>
  </si>
  <si>
    <t>Plansilons (gräsets) höjd när den är klar (meter)   =</t>
  </si>
  <si>
    <t>Plansilons vägg (0 för limpa   )=</t>
  </si>
  <si>
    <t>Inlastningshastighet i silon (ton grm/tim)    =</t>
  </si>
  <si>
    <t>Gräsets ts-halt (t.ex 0.30)   =</t>
  </si>
  <si>
    <t>Tjocklek på varje lager som packas (cm)   =</t>
  </si>
  <si>
    <t>Densitet högre än 450 Kg ts/m3 är orealistiskt</t>
  </si>
  <si>
    <t>-- översatt 2006 av Rolf Spörndly, SLU</t>
  </si>
  <si>
    <r>
      <t>40 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vagn  ger 12,5 cm lager i 8x40 m silo</t>
    </r>
  </si>
  <si>
    <t xml:space="preserve">http://www.uwex.edu/ces/crops/uwforage/BunkDensCalc8-24-07wPOROSITY.xls </t>
  </si>
  <si>
    <t>Under 200 Kg ts/m3 ger stor varmgångsrisk</t>
  </si>
  <si>
    <t>250 kg Kg ts/m3 är mycket bra i en plansilo</t>
  </si>
  <si>
    <t xml:space="preserve">Lila celler är resultat 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</si>
</sst>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E+00"/>
    <numFmt numFmtId="173" formatCode="0.0"/>
    <numFmt numFmtId="174" formatCode="0.0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Ja&quot;;&quot;Ja&quot;;&quot;Nej&quot;"/>
    <numFmt numFmtId="181" formatCode="&quot;Sant&quot;;&quot;Sant&quot;;&quot;Falskt&quot;"/>
    <numFmt numFmtId="182" formatCode="&quot;På&quot;;&quot;På&quot;;&quot;Av&quot;"/>
  </numFmts>
  <fonts count="51">
    <font>
      <sz val="10"/>
      <name val="Arial"/>
      <family val="0"/>
    </font>
    <font>
      <b/>
      <sz val="10"/>
      <color indexed="57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5" fontId="1" fillId="0" borderId="0" xfId="0" applyNumberFormat="1" applyFont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3" fillId="34" borderId="0" xfId="0" applyFont="1" applyFill="1" applyAlignment="1" applyProtection="1">
      <alignment/>
      <protection/>
    </xf>
    <xf numFmtId="173" fontId="3" fillId="34" borderId="0" xfId="0" applyNumberFormat="1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3" fontId="5" fillId="36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3" fontId="8" fillId="0" borderId="0" xfId="0" applyNumberFormat="1" applyFont="1" applyAlignment="1">
      <alignment/>
    </xf>
    <xf numFmtId="173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quotePrefix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73" fontId="5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36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49" fontId="14" fillId="0" borderId="12" xfId="0" applyNumberFormat="1" applyFont="1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7" borderId="0" xfId="0" applyFont="1" applyFill="1" applyAlignment="1" applyProtection="1">
      <alignment/>
      <protection locked="0"/>
    </xf>
    <xf numFmtId="0" fontId="3" fillId="37" borderId="0" xfId="0" applyFont="1" applyFill="1" applyAlignment="1" applyProtection="1">
      <alignment horizontal="left"/>
      <protection locked="0"/>
    </xf>
    <xf numFmtId="0" fontId="14" fillId="37" borderId="0" xfId="0" applyFont="1" applyFill="1" applyAlignment="1" applyProtection="1">
      <alignment/>
      <protection/>
    </xf>
    <xf numFmtId="1" fontId="3" fillId="35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11" fillId="0" borderId="0" xfId="53" applyAlignment="1" applyProtection="1">
      <alignment/>
      <protection/>
    </xf>
    <xf numFmtId="0" fontId="0" fillId="0" borderId="12" xfId="0" applyBorder="1" applyAlignment="1">
      <alignment/>
    </xf>
    <xf numFmtId="49" fontId="0" fillId="0" borderId="0" xfId="0" applyNumberFormat="1" applyFont="1" applyBorder="1" applyAlignment="1">
      <alignment/>
    </xf>
    <xf numFmtId="0" fontId="11" fillId="0" borderId="17" xfId="53" applyBorder="1" applyAlignment="1" applyProtection="1">
      <alignment/>
      <protection/>
    </xf>
    <xf numFmtId="0" fontId="0" fillId="38" borderId="0" xfId="0" applyFill="1" applyAlignment="1">
      <alignment/>
    </xf>
    <xf numFmtId="0" fontId="0" fillId="35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wex.edu/ces/crops/uwforage/BunkDensCalc8-24-07wPOROSITY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110" zoomScaleNormal="110" zoomScalePageLayoutView="0" workbookViewId="0" topLeftCell="A16">
      <selection activeCell="H38" sqref="H38"/>
    </sheetView>
  </sheetViews>
  <sheetFormatPr defaultColWidth="9.140625" defaultRowHeight="19.5" customHeight="1"/>
  <cols>
    <col min="1" max="1" width="5.7109375" style="0" customWidth="1"/>
    <col min="5" max="5" width="22.7109375" style="0" customWidth="1"/>
    <col min="6" max="6" width="11.57421875" style="0" customWidth="1"/>
    <col min="7" max="7" width="2.7109375" style="0" customWidth="1"/>
    <col min="8" max="8" width="43.7109375" style="0" customWidth="1"/>
    <col min="9" max="9" width="24.7109375" style="0" customWidth="1"/>
    <col min="12" max="12" width="9.57421875" style="0" bestFit="1" customWidth="1"/>
  </cols>
  <sheetData>
    <row r="1" ht="19.5" customHeight="1">
      <c r="B1" s="43" t="s">
        <v>35</v>
      </c>
    </row>
    <row r="2" ht="19.5" customHeight="1" thickBot="1"/>
    <row r="3" spans="2:6" ht="19.5" customHeight="1">
      <c r="B3" s="36"/>
      <c r="C3" s="28"/>
      <c r="D3" s="28"/>
      <c r="E3" s="28"/>
      <c r="F3" s="29"/>
    </row>
    <row r="4" spans="1:9" ht="19.5" customHeight="1">
      <c r="A4" s="1"/>
      <c r="B4" s="31" t="s">
        <v>8</v>
      </c>
      <c r="C4" s="30"/>
      <c r="D4" s="30"/>
      <c r="E4" s="30"/>
      <c r="F4" s="37"/>
      <c r="G4" s="35"/>
      <c r="H4" s="5" t="s">
        <v>3</v>
      </c>
      <c r="I4" s="1"/>
    </row>
    <row r="5" spans="2:9" ht="19.5" customHeight="1">
      <c r="B5" s="32" t="s">
        <v>9</v>
      </c>
      <c r="C5" s="30"/>
      <c r="D5" s="30"/>
      <c r="E5" s="30"/>
      <c r="F5" s="37"/>
      <c r="G5" s="35"/>
      <c r="H5" s="5" t="s">
        <v>4</v>
      </c>
      <c r="I5" s="1"/>
    </row>
    <row r="6" spans="2:9" ht="19.5" customHeight="1">
      <c r="B6" s="44"/>
      <c r="C6" s="45" t="s">
        <v>33</v>
      </c>
      <c r="D6" s="30"/>
      <c r="E6" s="30"/>
      <c r="F6" s="37"/>
      <c r="G6" s="35"/>
      <c r="H6" s="2" t="s">
        <v>2</v>
      </c>
      <c r="I6" s="1"/>
    </row>
    <row r="7" spans="1:9" ht="19.5" customHeight="1" thickBot="1">
      <c r="A7" s="1"/>
      <c r="B7" s="46"/>
      <c r="C7" s="33"/>
      <c r="D7" s="33"/>
      <c r="E7" s="33"/>
      <c r="F7" s="34"/>
      <c r="G7" s="35"/>
      <c r="H7" s="2" t="s">
        <v>6</v>
      </c>
      <c r="I7" s="1"/>
    </row>
    <row r="8" spans="1:9" ht="19.5" customHeight="1">
      <c r="A8" s="1"/>
      <c r="B8" s="1"/>
      <c r="C8" s="1"/>
      <c r="D8" s="1"/>
      <c r="E8" s="1"/>
      <c r="F8" s="1"/>
      <c r="G8" s="1"/>
      <c r="H8" s="2" t="s">
        <v>5</v>
      </c>
      <c r="I8" s="1"/>
    </row>
    <row r="9" spans="1:9" ht="19.5" customHeight="1">
      <c r="A9" s="1"/>
      <c r="B9" s="1"/>
      <c r="C9" s="1"/>
      <c r="D9" s="1"/>
      <c r="E9" s="1"/>
      <c r="F9" s="1"/>
      <c r="G9" s="1"/>
      <c r="H9" s="2" t="s">
        <v>0</v>
      </c>
      <c r="I9" s="1"/>
    </row>
    <row r="10" spans="1:9" ht="19.5" customHeight="1">
      <c r="A10" s="6" t="s">
        <v>28</v>
      </c>
      <c r="B10" s="6"/>
      <c r="C10" s="6"/>
      <c r="D10" s="6"/>
      <c r="E10" s="6"/>
      <c r="F10" s="38">
        <v>3</v>
      </c>
      <c r="G10" s="1"/>
      <c r="H10" s="3">
        <v>37269</v>
      </c>
      <c r="I10" s="1"/>
    </row>
    <row r="11" spans="1:9" ht="19.5" customHeight="1">
      <c r="A11" s="6"/>
      <c r="B11" s="6"/>
      <c r="C11" s="6"/>
      <c r="D11" s="6"/>
      <c r="E11" s="6"/>
      <c r="F11" s="6"/>
      <c r="G11" s="1"/>
      <c r="H11" s="1"/>
      <c r="I11" s="1"/>
    </row>
    <row r="12" spans="1:9" ht="19.5" customHeight="1">
      <c r="A12" s="6" t="s">
        <v>27</v>
      </c>
      <c r="B12" s="6"/>
      <c r="C12" s="6"/>
      <c r="D12" s="6"/>
      <c r="E12" s="6"/>
      <c r="F12" s="38">
        <v>3</v>
      </c>
      <c r="G12" s="1"/>
      <c r="H12" s="40" t="s">
        <v>21</v>
      </c>
      <c r="I12" s="1"/>
    </row>
    <row r="13" spans="1:9" ht="19.5" customHeight="1">
      <c r="A13" s="6"/>
      <c r="B13" s="6"/>
      <c r="C13" s="6"/>
      <c r="D13" s="6"/>
      <c r="E13" s="6"/>
      <c r="F13" s="6"/>
      <c r="G13" s="1"/>
      <c r="H13" s="1"/>
      <c r="I13" s="1"/>
    </row>
    <row r="14" spans="1:9" ht="19.5" customHeight="1">
      <c r="A14" s="6" t="s">
        <v>29</v>
      </c>
      <c r="B14" s="6"/>
      <c r="C14" s="6"/>
      <c r="D14" s="6"/>
      <c r="E14" s="6"/>
      <c r="F14" s="38">
        <v>15</v>
      </c>
      <c r="G14" s="1"/>
      <c r="H14" s="1" t="s">
        <v>22</v>
      </c>
      <c r="I14" s="1"/>
    </row>
    <row r="15" spans="1:9" ht="19.5" customHeight="1">
      <c r="A15" s="6"/>
      <c r="B15" s="6"/>
      <c r="C15" s="6"/>
      <c r="D15" s="6"/>
      <c r="E15" s="6"/>
      <c r="F15" s="6"/>
      <c r="G15" s="1"/>
      <c r="H15" s="1"/>
      <c r="I15" s="1"/>
    </row>
    <row r="16" spans="1:9" ht="19.5" customHeight="1">
      <c r="A16" s="6" t="s">
        <v>30</v>
      </c>
      <c r="B16" s="6"/>
      <c r="C16" s="6"/>
      <c r="D16" s="6"/>
      <c r="E16" s="6"/>
      <c r="F16" s="38">
        <v>0.3</v>
      </c>
      <c r="G16" s="1"/>
      <c r="H16" s="14" t="s">
        <v>10</v>
      </c>
      <c r="I16" s="1"/>
    </row>
    <row r="17" spans="2:9" ht="19.5" customHeight="1">
      <c r="B17" s="6"/>
      <c r="C17" s="6"/>
      <c r="D17" s="6"/>
      <c r="E17" s="6"/>
      <c r="F17" s="15" t="str">
        <f>+IF(F16&gt;1,"F13 must be less than 1"," ")</f>
        <v> </v>
      </c>
      <c r="G17" s="1"/>
      <c r="H17" s="1"/>
      <c r="I17" s="1"/>
    </row>
    <row r="18" spans="1:12" ht="19.5" customHeight="1">
      <c r="A18" s="6" t="s">
        <v>31</v>
      </c>
      <c r="B18" s="6"/>
      <c r="C18" s="6"/>
      <c r="D18" s="6"/>
      <c r="E18" s="6"/>
      <c r="F18" s="38">
        <v>15</v>
      </c>
      <c r="G18" s="1"/>
      <c r="H18" s="1" t="s">
        <v>23</v>
      </c>
      <c r="I18" s="1"/>
      <c r="L18" s="42" t="s">
        <v>34</v>
      </c>
    </row>
    <row r="19" spans="1:9" ht="19.5" customHeight="1">
      <c r="A19" s="6"/>
      <c r="B19" s="6"/>
      <c r="C19" s="6"/>
      <c r="D19" s="6"/>
      <c r="E19" s="6"/>
      <c r="F19" s="15" t="str">
        <f>+IF(F18&gt;60,"Consider a thinner layer in cell F15"," ")</f>
        <v> </v>
      </c>
      <c r="G19" s="1"/>
      <c r="H19" s="1"/>
      <c r="I19" s="1"/>
    </row>
    <row r="20" spans="1:9" ht="19.5" customHeight="1">
      <c r="A20" s="6" t="s">
        <v>11</v>
      </c>
      <c r="B20" s="6"/>
      <c r="C20" s="6"/>
      <c r="D20" s="6"/>
      <c r="E20" s="6"/>
      <c r="F20" s="6"/>
      <c r="G20" s="1"/>
      <c r="H20" s="6" t="s">
        <v>12</v>
      </c>
      <c r="I20" s="1"/>
    </row>
    <row r="21" spans="1:12" ht="19.5" customHeight="1">
      <c r="A21" s="7" t="s">
        <v>7</v>
      </c>
      <c r="B21" s="6"/>
      <c r="C21" s="6"/>
      <c r="D21" s="6"/>
      <c r="E21" s="6"/>
      <c r="F21" s="6"/>
      <c r="G21" s="1"/>
      <c r="H21" s="6"/>
      <c r="I21" s="1"/>
      <c r="K21" s="20"/>
      <c r="L21" s="20"/>
    </row>
    <row r="22" spans="1:12" ht="19.5" customHeight="1">
      <c r="A22" s="6" t="s">
        <v>13</v>
      </c>
      <c r="B22" s="6"/>
      <c r="C22" s="16" t="s">
        <v>17</v>
      </c>
      <c r="D22" s="6"/>
      <c r="E22" s="6"/>
      <c r="F22" s="38">
        <v>5000</v>
      </c>
      <c r="G22" s="21">
        <f>IF(F22&gt;0,H22,0)</f>
        <v>100</v>
      </c>
      <c r="H22" s="39">
        <v>100</v>
      </c>
      <c r="I22" s="25" t="str">
        <f>IF(AND(F22&gt;0,H22&lt;1),"Error in Cell F19 or H19",IF(AND(F22&lt;1,H22&gt;0),"Error in Cell F19 or H19"," "))</f>
        <v> </v>
      </c>
      <c r="J22" s="18"/>
      <c r="K22" s="18"/>
      <c r="L22" s="18"/>
    </row>
    <row r="23" spans="1:13" ht="19.5" customHeight="1">
      <c r="A23" s="6" t="s">
        <v>14</v>
      </c>
      <c r="B23" s="6"/>
      <c r="C23" s="16" t="s">
        <v>17</v>
      </c>
      <c r="D23" s="6"/>
      <c r="E23" s="6"/>
      <c r="F23" s="38">
        <v>0</v>
      </c>
      <c r="G23" s="21">
        <f>IF(F23&gt;0,H23,0)</f>
        <v>0</v>
      </c>
      <c r="H23" s="39">
        <v>0</v>
      </c>
      <c r="I23" s="25" t="str">
        <f>IF(AND(F23&gt;0,H23&lt;1),"Error in Cell F20 or H20",IF(AND(F23&lt;1,H23&gt;0),"Error in Cell F20 or H20"," "))</f>
        <v> </v>
      </c>
      <c r="J23" s="18"/>
      <c r="K23" s="18"/>
      <c r="L23" s="18"/>
      <c r="M23" s="20"/>
    </row>
    <row r="24" spans="1:13" ht="19.5" customHeight="1">
      <c r="A24" s="6" t="s">
        <v>15</v>
      </c>
      <c r="B24" s="6"/>
      <c r="C24" s="16" t="s">
        <v>17</v>
      </c>
      <c r="D24" s="6"/>
      <c r="E24" s="6"/>
      <c r="F24" s="38">
        <v>0</v>
      </c>
      <c r="G24" s="21">
        <f>IF(F24&gt;0,H24,0)</f>
        <v>0</v>
      </c>
      <c r="H24" s="39">
        <v>0</v>
      </c>
      <c r="I24" s="25" t="str">
        <f>IF(AND(F24&gt;0,H24&lt;1),"Error in Cell F21 or H21",IF(AND(F24&lt;1,H24&gt;0),"Error in Cell F21 or H21"," "))</f>
        <v> </v>
      </c>
      <c r="J24" s="18"/>
      <c r="K24" s="18"/>
      <c r="L24" s="18"/>
      <c r="M24" s="20"/>
    </row>
    <row r="25" spans="1:13" ht="19.5" customHeight="1">
      <c r="A25" s="6" t="s">
        <v>16</v>
      </c>
      <c r="B25" s="6"/>
      <c r="C25" s="16" t="s">
        <v>17</v>
      </c>
      <c r="D25" s="6"/>
      <c r="E25" s="6"/>
      <c r="F25" s="38">
        <v>0</v>
      </c>
      <c r="G25" s="21">
        <f>IF(F25&gt;0,H25,0)</f>
        <v>0</v>
      </c>
      <c r="H25" s="39">
        <v>0</v>
      </c>
      <c r="I25" s="25" t="str">
        <f>IF(AND(F25&gt;0,H25&lt;1),"Error in Cell F22 or H22",IF(AND(F25&lt;1,H25&gt;0),"Error in Cell F22 or H22"," "))</f>
        <v> </v>
      </c>
      <c r="J25" s="18"/>
      <c r="K25" s="18"/>
      <c r="L25" s="24"/>
      <c r="M25" s="20"/>
    </row>
    <row r="26" spans="1:13" ht="19.5" customHeight="1">
      <c r="A26" s="6" t="s">
        <v>18</v>
      </c>
      <c r="C26" s="6"/>
      <c r="D26" s="6"/>
      <c r="E26" s="6"/>
      <c r="F26" s="8">
        <f>+F22*H22/100+F23*H23/100+F24*H24/100+F25*H25/100</f>
        <v>5000</v>
      </c>
      <c r="G26" s="1"/>
      <c r="H26" s="1"/>
      <c r="I26" s="1"/>
      <c r="J26" s="24"/>
      <c r="K26" s="18"/>
      <c r="L26" s="24"/>
      <c r="M26" s="20"/>
    </row>
    <row r="27" spans="1:13" ht="19.5" customHeight="1">
      <c r="A27" s="6" t="s">
        <v>19</v>
      </c>
      <c r="B27" s="6"/>
      <c r="C27" s="6"/>
      <c r="D27" s="6"/>
      <c r="E27" s="6"/>
      <c r="F27" s="9">
        <f>+(+F10+F12)/2</f>
        <v>3</v>
      </c>
      <c r="G27" s="1"/>
      <c r="H27" s="27" t="s">
        <v>20</v>
      </c>
      <c r="I27" s="1"/>
      <c r="J27" s="24"/>
      <c r="K27" s="18"/>
      <c r="L27" s="24"/>
      <c r="M27" s="20"/>
    </row>
    <row r="28" spans="1:12" ht="19.5" customHeight="1">
      <c r="A28" s="7" t="s">
        <v>1</v>
      </c>
      <c r="B28" s="6"/>
      <c r="C28" s="6"/>
      <c r="D28" s="6"/>
      <c r="E28" s="6"/>
      <c r="F28" s="6"/>
      <c r="G28" s="1"/>
      <c r="H28" s="1"/>
      <c r="I28" s="1"/>
      <c r="J28" s="24"/>
      <c r="K28" s="24"/>
      <c r="L28" s="24"/>
    </row>
    <row r="29" spans="1:9" ht="19.5" customHeight="1">
      <c r="A29" s="6"/>
      <c r="B29" s="6"/>
      <c r="C29" s="6"/>
      <c r="D29" s="10" t="s">
        <v>24</v>
      </c>
      <c r="E29" s="10"/>
      <c r="F29" s="41">
        <f>+MAX(K35:N38)</f>
        <v>1490.7119849998599</v>
      </c>
      <c r="G29" s="1"/>
      <c r="H29" s="48" t="s">
        <v>38</v>
      </c>
      <c r="I29" s="1"/>
    </row>
    <row r="30" spans="1:9" ht="19.5" customHeight="1">
      <c r="A30" s="10" t="s">
        <v>25</v>
      </c>
      <c r="B30" s="10"/>
      <c r="C30" s="10"/>
      <c r="D30" s="10"/>
      <c r="E30" s="10"/>
      <c r="F30" s="41">
        <f>+IF(F33&lt;F34,F33,F34)</f>
        <v>189.32244602756043</v>
      </c>
      <c r="G30" s="1"/>
      <c r="H30" s="4" t="s">
        <v>32</v>
      </c>
      <c r="I30" s="1"/>
    </row>
    <row r="31" spans="1:14" ht="19.5" customHeight="1">
      <c r="A31" s="1"/>
      <c r="B31" s="1"/>
      <c r="C31" s="1"/>
      <c r="D31" s="1"/>
      <c r="E31" s="1"/>
      <c r="F31" s="1"/>
      <c r="G31" s="1"/>
      <c r="H31" s="47" t="s">
        <v>36</v>
      </c>
      <c r="I31" s="1"/>
      <c r="K31" s="17"/>
      <c r="L31" s="24"/>
      <c r="M31" s="24"/>
      <c r="N31" s="24"/>
    </row>
    <row r="32" spans="1:12" ht="19.5" customHeight="1">
      <c r="A32" s="11">
        <f>+IF(F30=F33,"Estimated DM Density controlled by Maximum Achievable Density","")</f>
      </c>
      <c r="B32" s="1"/>
      <c r="C32" s="1"/>
      <c r="D32" s="1"/>
      <c r="E32" s="1"/>
      <c r="F32" s="1"/>
      <c r="G32" s="1"/>
      <c r="H32" s="47" t="s">
        <v>37</v>
      </c>
      <c r="I32" s="19"/>
      <c r="J32" s="24"/>
      <c r="K32" s="24"/>
      <c r="L32" s="24"/>
    </row>
    <row r="33" spans="1:12" ht="19.5" customHeight="1">
      <c r="A33" s="10" t="s">
        <v>26</v>
      </c>
      <c r="B33" s="12"/>
      <c r="C33" s="12"/>
      <c r="D33" s="12"/>
      <c r="E33" s="12"/>
      <c r="F33" s="41">
        <f>+F16*(F16*1500+(1-F16)*1000)</f>
        <v>345</v>
      </c>
      <c r="G33" s="1"/>
      <c r="I33" s="26"/>
      <c r="J33" s="24"/>
      <c r="K33" s="24"/>
      <c r="L33" s="24"/>
    </row>
    <row r="34" spans="1:14" ht="19.5" customHeight="1">
      <c r="A34" s="1"/>
      <c r="B34" s="1"/>
      <c r="C34" s="1"/>
      <c r="D34" s="1"/>
      <c r="E34" s="1"/>
      <c r="F34" s="13">
        <f>(+F29*0.042+136.3)*(0.818+0.0446*F27)</f>
        <v>189.32244602756043</v>
      </c>
      <c r="G34" s="1"/>
      <c r="H34" s="1"/>
      <c r="I34" s="1"/>
      <c r="J34" s="22"/>
      <c r="K34" s="22">
        <v>19</v>
      </c>
      <c r="L34" s="22">
        <v>20</v>
      </c>
      <c r="M34" s="22">
        <v>21</v>
      </c>
      <c r="N34" s="22">
        <v>22</v>
      </c>
    </row>
    <row r="35" spans="1:14" ht="19.5" customHeight="1">
      <c r="A35" s="1"/>
      <c r="B35" s="1"/>
      <c r="C35" s="1"/>
      <c r="D35" s="1"/>
      <c r="E35" s="1"/>
      <c r="F35" s="1"/>
      <c r="G35" s="1"/>
      <c r="H35" s="1"/>
      <c r="I35" s="1"/>
      <c r="J35" s="22">
        <v>19</v>
      </c>
      <c r="K35" s="23">
        <f>+($F$22/$F$18)*($F$16*10*$G$22/$F$14)^0.5</f>
        <v>1490.7119849998599</v>
      </c>
      <c r="L35" s="23">
        <f>+(($F$22*$G$22+$F$23*$G$23)/IF($G$22+$G$23,$G$22+$G$23,1)/$F$18)*($F$16*10*SUM($G$22:$G$23)/$F$14)^0.5</f>
        <v>1490.7119849998599</v>
      </c>
      <c r="M35" s="23">
        <f>+(($F$22*$G$22+$F$23*$G$23+$F$24*$G$24)/IF($G$22+$G$23+$G$24,$G$22+$G$23+$G$24,1)/$F$18)*($F$16*10*SUM($G$22:$G$24)/$F$14)^0.5</f>
        <v>1490.7119849998599</v>
      </c>
      <c r="N35" s="23">
        <f>+(($F$22*$G$22+$F$23*$G$23+$F$24*$G$24+$F$25*$G$25)/IF(SUM($G$22:$G$25),SUM($G$22:$G$25),1)/$F$18)*($F$16*10*SUM($G$22:$G$25)/$F$14)^0.5</f>
        <v>1490.7119849998599</v>
      </c>
    </row>
    <row r="36" spans="1:14" ht="19.5" customHeight="1">
      <c r="A36" s="1"/>
      <c r="B36" s="1"/>
      <c r="C36" s="1"/>
      <c r="D36" s="1"/>
      <c r="E36" s="1"/>
      <c r="F36" s="1"/>
      <c r="G36" s="1"/>
      <c r="H36" s="1"/>
      <c r="I36" s="1"/>
      <c r="J36" s="22">
        <v>20</v>
      </c>
      <c r="K36" s="23"/>
      <c r="L36" s="23">
        <f>+($F$23/$F$18)*($F$16*10*$G$23/$F$14)^0.5</f>
        <v>0</v>
      </c>
      <c r="M36" s="23">
        <f>+(($F$23*$G$23+$F$24*$G$24)/IF($G$23+$G$24,$G$23+$G$24,1)/$F$18)*($F$16*10*SUM($G$23:$G$24)/$F$14)^0.5</f>
        <v>0</v>
      </c>
      <c r="N36" s="23">
        <f>+(($F$23*$G$23+$F$24*$G$24+$F$25*$G$25)/IF(SUM($G$23:$G$25),SUM($G$23:$G$25),1)/$F$18)*($F$16*10*SUM($G$23:$G$25)/$F$14)^0.5</f>
        <v>0</v>
      </c>
    </row>
    <row r="37" spans="1:14" ht="19.5" customHeight="1">
      <c r="A37" s="1"/>
      <c r="B37" s="1"/>
      <c r="C37" s="1"/>
      <c r="D37" s="1"/>
      <c r="E37" s="1"/>
      <c r="F37" s="1"/>
      <c r="G37" s="1"/>
      <c r="H37" s="1"/>
      <c r="I37" s="1"/>
      <c r="J37" s="22">
        <v>21</v>
      </c>
      <c r="K37" s="23">
        <f>+(($F$22*$G$22+$F$24*$G24)/IF($G$22+$G24,$G$22+$G24,1)/$F$18)*($F$16*10*SUM($G$22,$G24)/$F$14)^0.5</f>
        <v>1490.7119849998599</v>
      </c>
      <c r="L37" s="23"/>
      <c r="M37" s="23">
        <f>+($F$24/$F$18)*(($F$16*10*$G$24)/$F$14)^0.5</f>
        <v>0</v>
      </c>
      <c r="N37" s="23">
        <f>+(($F$24*$G$24+$F$25*$G$25)/IF($G$24+$G$25,$G$24+$G$25,1)/$F$18)*($F$16*10*SUM($G$24:$G$25)/$F$14)^0.5</f>
        <v>0</v>
      </c>
    </row>
    <row r="38" spans="2:14" ht="19.5" customHeight="1">
      <c r="B38" s="1"/>
      <c r="C38" s="1"/>
      <c r="D38" s="1"/>
      <c r="E38" s="1"/>
      <c r="F38" s="1"/>
      <c r="G38" s="1"/>
      <c r="H38" s="1"/>
      <c r="I38" s="1"/>
      <c r="J38" s="22">
        <v>22</v>
      </c>
      <c r="K38" s="23">
        <f>+(($F$22*$G$22+$F$25*$G$25)/IF($G$22+$G$25,$G$22+$G$25,1)/$F$18)*($F$16*10*SUM($G$22,$G$25)/$F$14)^0.5</f>
        <v>1490.7119849998599</v>
      </c>
      <c r="L38" s="23">
        <f>+(($F$23*$G$23+$F$25*$G$25)/IF($G$23+$G$25,$G$23+$G$25,1)/$F$18)*($F$16*10*SUM($G$23,$G$25)/$F$14)^0.5</f>
        <v>0</v>
      </c>
      <c r="M38" s="23">
        <f>+(($F$22*$G$22+$F$24*$G$24+$F$25*$G$25)/IF($G$22+$G$24+$G$25,$G$22+$G$24+$G$25,1)/$F$18)*($F$16*10*SUM($G$22,$G$24:$G$25)/$F$14)^0.5</f>
        <v>1490.7119849998599</v>
      </c>
      <c r="N38" s="23">
        <f>+($F$25/$F$18)*($F$16*10*$G$25/$F$14)^0.5</f>
        <v>0</v>
      </c>
    </row>
  </sheetData>
  <sheetProtection sheet="1"/>
  <hyperlinks>
    <hyperlink ref="B1" r:id="rId1" display="http://www.uwex.edu/ces/crops/uwforage/BunkDensCalc8-24-07wPOROSITY.xls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Biological Systems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Silage Density in Bunker Silo</dc:title>
  <dc:subject/>
  <dc:creator>Brian J. Holmes</dc:creator>
  <cp:keywords/>
  <dc:description/>
  <cp:lastModifiedBy>Marie Liljeholm</cp:lastModifiedBy>
  <cp:lastPrinted>1999-06-29T14:56:49Z</cp:lastPrinted>
  <dcterms:created xsi:type="dcterms:W3CDTF">1999-04-02T15:53:20Z</dcterms:created>
  <dcterms:modified xsi:type="dcterms:W3CDTF">2013-11-07T09:03:51Z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