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80" yWindow="460" windowWidth="12120" windowHeight="8840" firstSheet="1" activeTab="3"/>
  </bookViews>
  <sheets>
    <sheet name="Introduktion" sheetId="1" r:id="rId1"/>
    <sheet name="Grunddata" sheetId="2" r:id="rId2"/>
    <sheet name="Traktorkalkyl" sheetId="3" r:id="rId3"/>
    <sheet name="Redskapskalkyl" sheetId="4" r:id="rId4"/>
    <sheet name="Grödor" sheetId="5" r:id="rId5"/>
    <sheet name="Sammanställning" sheetId="6" r:id="rId6"/>
    <sheet name="TB grundkalkyler" sheetId="7" r:id="rId7"/>
    <sheet name="TB vald växtföljd" sheetId="8" r:id="rId8"/>
    <sheet name="Traktordata" sheetId="9" r:id="rId9"/>
    <sheet name="Maskindata" sheetId="10" r:id="rId10"/>
    <sheet name="Underhållsfaktorer" sheetId="11" r:id="rId11"/>
  </sheets>
  <externalReferences>
    <externalReference r:id="rId14"/>
  </externalReferences>
  <definedNames/>
  <calcPr fullCalcOnLoad="1"/>
</workbook>
</file>

<file path=xl/comments2.xml><?xml version="1.0" encoding="utf-8"?>
<comments xmlns="http://schemas.openxmlformats.org/spreadsheetml/2006/main">
  <authors>
    <author>Joharv</author>
  </authors>
  <commentList>
    <comment ref="A4" authorId="0">
      <text>
        <r>
          <rPr>
            <b/>
            <sz val="8"/>
            <rFont val="Tahoma"/>
            <family val="0"/>
          </rPr>
          <t>Bankränta minus inflation</t>
        </r>
      </text>
    </comment>
    <comment ref="A5" authorId="0">
      <text>
        <r>
          <rPr>
            <b/>
            <sz val="8"/>
            <rFont val="Tahoma"/>
            <family val="0"/>
          </rPr>
          <t>Kostnad arbetskraft inkl. sociala kostnader</t>
        </r>
      </text>
    </comment>
    <comment ref="A14" authorId="0">
      <text>
        <r>
          <rPr>
            <b/>
            <sz val="8"/>
            <rFont val="Tahoma"/>
            <family val="0"/>
          </rPr>
          <t>Används för att beräkna dragkraftsbehov</t>
        </r>
      </text>
    </comment>
    <comment ref="A15" authorId="0">
      <text>
        <r>
          <rPr>
            <b/>
            <sz val="8"/>
            <rFont val="Tahoma"/>
            <family val="0"/>
          </rPr>
          <t>Behöver normalt inte ändras</t>
        </r>
      </text>
    </comment>
    <comment ref="A16" authorId="0">
      <text>
        <r>
          <rPr>
            <b/>
            <sz val="8"/>
            <rFont val="Tahoma"/>
            <family val="0"/>
          </rPr>
          <t>Ofta ca 35 % i dieselmotorer</t>
        </r>
      </text>
    </comment>
    <comment ref="A17" authorId="0">
      <text>
        <r>
          <rPr>
            <b/>
            <sz val="8"/>
            <rFont val="Tahoma"/>
            <family val="0"/>
          </rPr>
          <t>Innefattar förluster i växellåda men också till hydraulpumpar m.m. Kan vara ca 20 %, men högre i vissa växellådor</t>
        </r>
      </text>
    </comment>
    <comment ref="A18" authorId="0">
      <text>
        <r>
          <rPr>
            <b/>
            <sz val="8"/>
            <rFont val="Tahoma"/>
            <family val="0"/>
          </rPr>
          <t>Varierar beroende på underlag, 0.1 är ett ganska normalt värde</t>
        </r>
      </text>
    </comment>
    <comment ref="A19" authorId="0">
      <text>
        <r>
          <rPr>
            <b/>
            <sz val="8"/>
            <rFont val="Tahoma"/>
            <family val="0"/>
          </rPr>
          <t xml:space="preserve">Lämplig motorbelastning under fältarbete i förhållande till maxeffekt. Används för att beräkna effektbehov för ett visst arbete.
</t>
        </r>
      </text>
    </comment>
  </commentList>
</comments>
</file>

<file path=xl/comments3.xml><?xml version="1.0" encoding="utf-8"?>
<comments xmlns="http://schemas.openxmlformats.org/spreadsheetml/2006/main">
  <authors>
    <author>Joharv</author>
    <author>joharv</author>
  </authors>
  <commentList>
    <comment ref="A3" authorId="0">
      <text>
        <r>
          <rPr>
            <b/>
            <sz val="8"/>
            <rFont val="Tahoma"/>
            <family val="0"/>
          </rPr>
          <t>Genom att välja en traktor från listan och  trycka på knappen Tabellvärde kan man få pris, vikt och effekt (kW) 
Egna värden kan läggas till listan, tryck på knappen Lägg till traktor</t>
        </r>
      </text>
    </comment>
    <comment ref="A4" authorId="0">
      <text>
        <r>
          <rPr>
            <b/>
            <sz val="8"/>
            <rFont val="Tahoma"/>
            <family val="0"/>
          </rPr>
          <t>Här kan du lägga in en egen kommentar om redskapet</t>
        </r>
      </text>
    </comment>
    <comment ref="A5" authorId="0">
      <text>
        <r>
          <rPr>
            <b/>
            <sz val="8"/>
            <rFont val="Tahoma"/>
            <family val="0"/>
          </rPr>
          <t>Används vid beräkning av bränsleförbrukning</t>
        </r>
      </text>
    </comment>
    <comment ref="A6" authorId="0">
      <text>
        <r>
          <rPr>
            <b/>
            <sz val="8"/>
            <rFont val="Tahoma"/>
            <family val="0"/>
          </rPr>
          <t>Kan jämföras med det beräknade effektbehovet i redskapskalkylen</t>
        </r>
      </text>
    </comment>
    <comment ref="A7" authorId="0">
      <text>
        <r>
          <rPr>
            <sz val="8"/>
            <rFont val="Tahoma"/>
            <family val="0"/>
          </rPr>
          <t xml:space="preserve">Återanskaffningsvärdet (nypris) kan hämtas från en lista men du kan också skriva in ett eget värde. För att återställa listvärdet, tryck på knappen Tabellvärde
</t>
        </r>
      </text>
    </comment>
    <comment ref="A8" authorId="0">
      <text>
        <r>
          <rPr>
            <b/>
            <sz val="8"/>
            <rFont val="Tahoma"/>
            <family val="0"/>
          </rPr>
          <t>Om du inte vill basera kalkylen på nypris (t.ex. vid köp av begagnad maskin) anges ett annat värde här. Då använder programmet det egna värdet.</t>
        </r>
      </text>
    </comment>
    <comment ref="A9" authorId="0">
      <text>
        <r>
          <rPr>
            <sz val="8"/>
            <rFont val="Tahoma"/>
            <family val="0"/>
          </rPr>
          <t xml:space="preserve">Antal år mellan inköp och försäljning
</t>
        </r>
      </text>
    </comment>
    <comment ref="A11" authorId="0">
      <text>
        <r>
          <rPr>
            <sz val="8"/>
            <rFont val="Tahoma"/>
            <family val="0"/>
          </rPr>
          <t>Beräknat från användningstid med redskapen i arket Grödor</t>
        </r>
      </text>
    </comment>
    <comment ref="A12" authorId="0">
      <text>
        <r>
          <rPr>
            <sz val="8"/>
            <rFont val="Tahoma"/>
            <family val="0"/>
          </rPr>
          <t>Extra körning som ej ingår under Grödor (ex. transporter, snöröjning)</t>
        </r>
      </text>
    </comment>
    <comment ref="A14" authorId="0">
      <text>
        <r>
          <rPr>
            <sz val="8"/>
            <rFont val="Tahoma"/>
            <family val="0"/>
          </rPr>
          <t xml:space="preserve">Underhållsfaktor anges i kr/tim användningstid per 1000 kr återanskaffningsvärde. Exempel på värden finns i arket underhållsfaktorer. I underhållskostnader ingår kostnad för eget arbete.
</t>
        </r>
      </text>
    </comment>
    <comment ref="A13" authorId="1">
      <text>
        <r>
          <rPr>
            <b/>
            <sz val="8"/>
            <rFont val="Tahoma"/>
            <family val="0"/>
          </rPr>
          <t>Bränsleförbrukning då traktorn körs i extra arbeten som ej ingår i redskapskalkyl</t>
        </r>
      </text>
    </comment>
  </commentList>
</comments>
</file>

<file path=xl/comments4.xml><?xml version="1.0" encoding="utf-8"?>
<comments xmlns="http://schemas.openxmlformats.org/spreadsheetml/2006/main">
  <authors>
    <author>Joharv</author>
  </authors>
  <commentList>
    <comment ref="A2" authorId="0">
      <text>
        <r>
          <rPr>
            <b/>
            <sz val="8"/>
            <rFont val="Tahoma"/>
            <family val="0"/>
          </rPr>
          <t>Redskapstyp är bl.a. underlag för att beräkna bränsleförbrukning</t>
        </r>
      </text>
    </comment>
    <comment ref="A3" authorId="0">
      <text>
        <r>
          <rPr>
            <b/>
            <sz val="8"/>
            <rFont val="Tahoma"/>
            <family val="0"/>
          </rPr>
          <t>Genom att välja ett specifikt redskap från listan kan man få pris, arbetsbredd och fältkapacitetsfaktor. 
Egna värden kan läggas till listan, tryck på knappen Lägg till redskap</t>
        </r>
      </text>
    </comment>
    <comment ref="A4" authorId="0">
      <text>
        <r>
          <rPr>
            <b/>
            <sz val="8"/>
            <rFont val="Tahoma"/>
            <family val="0"/>
          </rPr>
          <t>Här kan du lägga in en egen kommentar om redskapet</t>
        </r>
      </text>
    </comment>
    <comment ref="A5" authorId="0">
      <text>
        <r>
          <rPr>
            <sz val="8"/>
            <rFont val="Tahoma"/>
            <family val="0"/>
          </rPr>
          <t xml:space="preserve">Återanskaffningsvärdet (nypris) kan hämtas från en lista  men du kan också skriva in ett eget värde. Genom att trycka på knappen Tabellvärde får du tillbaka listpriset.
</t>
        </r>
      </text>
    </comment>
    <comment ref="A6" authorId="0">
      <text>
        <r>
          <rPr>
            <b/>
            <sz val="8"/>
            <rFont val="Tahoma"/>
            <family val="0"/>
          </rPr>
          <t>Om du inte vill basera kalkylen på nypris (t.ex. vid köp av begagnad maskin) anges ett annat värde här. Då använder programmet det egna värdet.</t>
        </r>
      </text>
    </comment>
    <comment ref="A7" authorId="0">
      <text>
        <r>
          <rPr>
            <sz val="8"/>
            <rFont val="Tahoma"/>
            <family val="0"/>
          </rPr>
          <t xml:space="preserve">Antal år mellan inköp och försäljning
</t>
        </r>
      </text>
    </comment>
    <comment ref="A12" authorId="0">
      <text>
        <r>
          <rPr>
            <sz val="8"/>
            <rFont val="Tahoma"/>
            <family val="0"/>
          </rPr>
          <t xml:space="preserve">Arbetsdjup bestämmer bränsleförbrukning vid grundbearbetning (plog, kultivator, tallriksredskap. I nuläget påverkas ej såbäddsberedningen.
</t>
        </r>
      </text>
    </comment>
    <comment ref="A13" authorId="0">
      <text>
        <r>
          <rPr>
            <sz val="8"/>
            <rFont val="Tahoma"/>
            <family val="0"/>
          </rPr>
          <t xml:space="preserve">Fältkapacitetsfaktor=den andel av tiden som redskapets fulla kapacitet utnyttjas (Maxvärde=100, tidsspill beror på vändningar, överlappning etc) 
Beräknas från areal, hastighet, arbetsbredd, fältkapacitetsfaktor och slirning.
</t>
        </r>
      </text>
    </comment>
    <comment ref="A16" authorId="0">
      <text>
        <r>
          <rPr>
            <sz val="8"/>
            <rFont val="Tahoma"/>
            <family val="0"/>
          </rPr>
          <t xml:space="preserve">Antal timmar beräknas från areal och avverkning och slirning. Man kan också ange ett eget värde.
</t>
        </r>
      </text>
    </comment>
    <comment ref="A17" authorId="0">
      <text>
        <r>
          <rPr>
            <sz val="8"/>
            <rFont val="Tahoma"/>
            <family val="0"/>
          </rPr>
          <t xml:space="preserve">Bränsleförbrukning beräknas från uppgifter i grunddata, redskapstyp, arbetsdjup (vid grundbearbetning, traktorns vikt, hastighet, arbetsbredd, fältkapacitetsfaktor och slirning.
</t>
        </r>
      </text>
    </comment>
    <comment ref="A18" authorId="0">
      <text>
        <r>
          <rPr>
            <sz val="8"/>
            <rFont val="Tahoma"/>
            <family val="0"/>
          </rPr>
          <t xml:space="preserve">Istället för det beräknade värdet kan du lägga in ett eget värde här. Då använder programmet det egna värdet. För tröskning måste alltid ett eget värde anges. 
</t>
        </r>
      </text>
    </comment>
    <comment ref="A19" authorId="0">
      <text>
        <r>
          <rPr>
            <sz val="8"/>
            <rFont val="Tahoma"/>
            <family val="0"/>
          </rPr>
          <t xml:space="preserve">Effektbehov beräknas från samma parametrar som bränsleförbrukning.
</t>
        </r>
      </text>
    </comment>
    <comment ref="A20" authorId="0">
      <text>
        <r>
          <rPr>
            <sz val="8"/>
            <rFont val="Tahoma"/>
            <family val="0"/>
          </rPr>
          <t xml:space="preserve">Underhållsfaktor anges i kr/tim användningstid per 1000 kr återanskaffningsvärde. Exempel på värden finns i arket underhållsfaktorer
</t>
        </r>
      </text>
    </comment>
    <comment ref="A9" authorId="0">
      <text>
        <r>
          <rPr>
            <sz val="8"/>
            <rFont val="Tahoma"/>
            <family val="0"/>
          </rPr>
          <t>Beräknas från hur redskapen används i arket grödor</t>
        </r>
      </text>
    </comment>
    <comment ref="A22" authorId="0">
      <text>
        <r>
          <rPr>
            <b/>
            <sz val="8"/>
            <rFont val="Tahoma"/>
            <family val="0"/>
          </rPr>
          <t>Här väljs en av traktorerna 1-4 från traktordata. För redskap som ej kräver traktor, (ex. tröska), skriv "0"</t>
        </r>
      </text>
    </comment>
  </commentList>
</comments>
</file>

<file path=xl/sharedStrings.xml><?xml version="1.0" encoding="utf-8"?>
<sst xmlns="http://schemas.openxmlformats.org/spreadsheetml/2006/main" count="702" uniqueCount="359">
  <si>
    <t>Restvärde vid försäljning/skrotning</t>
  </si>
  <si>
    <t>Förvaringsyta, inkl. trafikyta</t>
  </si>
  <si>
    <t xml:space="preserve">Modell </t>
  </si>
  <si>
    <t>Kalkylränta (real, dvs. justerad för inflation)</t>
  </si>
  <si>
    <t>Underhåll</t>
  </si>
  <si>
    <t>Underhållsfaktor, kr/tim*1000 kr Å</t>
  </si>
  <si>
    <t>Förvaringskostnad, kr/m2</t>
  </si>
  <si>
    <t>Kostnader, kr/år</t>
  </si>
  <si>
    <t>Värdeminskning</t>
  </si>
  <si>
    <t>Ränta</t>
  </si>
  <si>
    <t>Arbetskostnad</t>
  </si>
  <si>
    <t>Kostnad, kr/år</t>
  </si>
  <si>
    <t>Kostnad, kr/h</t>
  </si>
  <si>
    <t>Redskap</t>
  </si>
  <si>
    <t>Bränsle</t>
  </si>
  <si>
    <t>Arbetsbredd, m</t>
  </si>
  <si>
    <t>Timmar per år, redskap</t>
  </si>
  <si>
    <t>Fältkapacitetsfaktor (%)</t>
  </si>
  <si>
    <t>buren</t>
  </si>
  <si>
    <t>bogserad</t>
  </si>
  <si>
    <t>Växelplog, buren</t>
  </si>
  <si>
    <t>Växelplog, delburen</t>
  </si>
  <si>
    <t>delburen</t>
  </si>
  <si>
    <t>vagnplog</t>
  </si>
  <si>
    <t>Bogserad</t>
  </si>
  <si>
    <t>Harvar</t>
  </si>
  <si>
    <t>Såjet 4 m</t>
  </si>
  <si>
    <t>Såjet 6 m</t>
  </si>
  <si>
    <t>Kombisåmaskiner</t>
  </si>
  <si>
    <t>Kombi</t>
  </si>
  <si>
    <t>Vältar</t>
  </si>
  <si>
    <t>Vält 6 m</t>
  </si>
  <si>
    <t>Vält 9 m</t>
  </si>
  <si>
    <t>Vält 12 m</t>
  </si>
  <si>
    <t>Crosskiller 6,2 m</t>
  </si>
  <si>
    <t>Med sladdplanka</t>
  </si>
  <si>
    <t>Crosskiller 8,2 m</t>
  </si>
  <si>
    <t>Typ "Carrier" 5 m</t>
  </si>
  <si>
    <t>Typ "Carrier" 6,5 m</t>
  </si>
  <si>
    <t>Typ "Rexius Twin" 4 m</t>
  </si>
  <si>
    <t>Typ "Rexius Twin" 6,3 m</t>
  </si>
  <si>
    <t>Typ "Rexius Twin" 8,3 m</t>
  </si>
  <si>
    <t>Konstgödselspridare</t>
  </si>
  <si>
    <t>Buren 12 m</t>
  </si>
  <si>
    <t>1500 liter</t>
  </si>
  <si>
    <t>Bogserad 24 m</t>
  </si>
  <si>
    <t>3000 liter</t>
  </si>
  <si>
    <t>Bogserad, ramp 12 m</t>
  </si>
  <si>
    <t>4000 liter</t>
  </si>
  <si>
    <t>Bogserad, ramp 24 m</t>
  </si>
  <si>
    <t>Spruta</t>
  </si>
  <si>
    <t>800 liter</t>
  </si>
  <si>
    <t>Buren, luftass 12 m</t>
  </si>
  <si>
    <t>1000 liter</t>
  </si>
  <si>
    <t>2500 liter</t>
  </si>
  <si>
    <t>Bogserad, luftass 24 m</t>
  </si>
  <si>
    <t>Ogräsharvar</t>
  </si>
  <si>
    <t>Långfingerharv 6 m</t>
  </si>
  <si>
    <t>Långfingerharv 12 m</t>
  </si>
  <si>
    <t>Egna maskiner</t>
  </si>
  <si>
    <t>Spearhead, 6m</t>
  </si>
  <si>
    <t>Universalsåmaskin, C 6m</t>
  </si>
  <si>
    <t>Tume, skivbillar 5500 CDD 6</t>
  </si>
  <si>
    <t>Väderstad Rapid RDA-600C</t>
  </si>
  <si>
    <t>Fronttiller 4m</t>
  </si>
  <si>
    <t>Väderstad</t>
  </si>
  <si>
    <t>Fronttiller 5m</t>
  </si>
  <si>
    <t>Heva, frontboard hyd(4-6m)</t>
  </si>
  <si>
    <t>Ogräsharv 12m</t>
  </si>
  <si>
    <t>Einböck</t>
  </si>
  <si>
    <t>carrier</t>
  </si>
  <si>
    <t>Crosskilervält</t>
  </si>
  <si>
    <t>kN/m2</t>
  </si>
  <si>
    <t>kN/m</t>
  </si>
  <si>
    <t>Tallriksredskap</t>
  </si>
  <si>
    <t>Kultivator</t>
  </si>
  <si>
    <t>Effektbehov, kW</t>
  </si>
  <si>
    <t>Avverkning, ha/tim</t>
  </si>
  <si>
    <t>Årlig användning, ha</t>
  </si>
  <si>
    <t>Buren 3,5 m</t>
  </si>
  <si>
    <t>Buren 4 m</t>
  </si>
  <si>
    <t>Buren 4,5 m</t>
  </si>
  <si>
    <t>Bogserad 5 m</t>
  </si>
  <si>
    <t>Bogserad 5,5 m</t>
  </si>
  <si>
    <t>Bogserad 6 m</t>
  </si>
  <si>
    <t>Egen</t>
  </si>
  <si>
    <t>Lätt 3,2 m</t>
  </si>
  <si>
    <t>Tungt 2,5 m</t>
  </si>
  <si>
    <t>Tungt 3,6 m</t>
  </si>
  <si>
    <t>Tungt 4,2 m</t>
  </si>
  <si>
    <t>Tungt 5,4 m</t>
  </si>
  <si>
    <t>Eget</t>
  </si>
  <si>
    <t>Tallrik + vält</t>
  </si>
  <si>
    <t>Konstgödselspr.</t>
  </si>
  <si>
    <t>Buren 3-skärig</t>
  </si>
  <si>
    <t>Buren 4-skärig</t>
  </si>
  <si>
    <t>Buren 5-skärig</t>
  </si>
  <si>
    <t>Buren, 3 sk. var.</t>
  </si>
  <si>
    <t>Buren, 4 sk. var.</t>
  </si>
  <si>
    <t>Buren, 5 sk. var.</t>
  </si>
  <si>
    <t>Delburen 4-skärig</t>
  </si>
  <si>
    <t>Delburen 5-skärig</t>
  </si>
  <si>
    <t>Delburen 6-skärig</t>
  </si>
  <si>
    <t>Delburen 7-skärig</t>
  </si>
  <si>
    <t>Delburen 8-skärig</t>
  </si>
  <si>
    <t>Vagn, 6-skärig</t>
  </si>
  <si>
    <t>Vagn, 7-skärig</t>
  </si>
  <si>
    <t>Vagn, 8-skärig</t>
  </si>
  <si>
    <t>Vagn, 9-skärig</t>
  </si>
  <si>
    <t>Vagn, 10-skärig</t>
  </si>
  <si>
    <t>Buren 3 m</t>
  </si>
  <si>
    <t>Buren 5 m</t>
  </si>
  <si>
    <t>Bogserad 7 m</t>
  </si>
  <si>
    <t>Bogserad 8 m</t>
  </si>
  <si>
    <t>Bogserad 9 m</t>
  </si>
  <si>
    <t>Bogserad 10 m</t>
  </si>
  <si>
    <t>Skivbill 6m</t>
  </si>
  <si>
    <t>Bogserad 3 m</t>
  </si>
  <si>
    <t>Bogserad 4 m</t>
  </si>
  <si>
    <t>Skivbill 3 m</t>
  </si>
  <si>
    <t>Skivbill 4 m</t>
  </si>
  <si>
    <t>Växelplog</t>
  </si>
  <si>
    <t>Körhastighet, km/h</t>
  </si>
  <si>
    <t>Innehav, antal år</t>
  </si>
  <si>
    <t>Å=Återanskaffningsvärde (nypris)</t>
  </si>
  <si>
    <t>Inköpspris (om annat än Å)</t>
  </si>
  <si>
    <t>Körs med traktor nr</t>
  </si>
  <si>
    <t>Förvaring</t>
  </si>
  <si>
    <t>Timmar per år</t>
  </si>
  <si>
    <t>Effekt, kW</t>
  </si>
  <si>
    <t>Skatt, försäkring</t>
  </si>
  <si>
    <t>Traktor 1</t>
  </si>
  <si>
    <t>Traktor 2</t>
  </si>
  <si>
    <t>Traktor 3</t>
  </si>
  <si>
    <t>Traktor 4</t>
  </si>
  <si>
    <t>Valtra, M 150</t>
  </si>
  <si>
    <t>John Deere 6820</t>
  </si>
  <si>
    <t>Valtra, T140</t>
  </si>
  <si>
    <t>Lågvarvstraktor</t>
  </si>
  <si>
    <t>Fendt</t>
  </si>
  <si>
    <t>Fendt vario</t>
  </si>
  <si>
    <t>FORD 8770</t>
  </si>
  <si>
    <t>NH TM 190</t>
  </si>
  <si>
    <t>John Deere 7810</t>
  </si>
  <si>
    <t>Deutz Agrotorn</t>
  </si>
  <si>
    <t>Fendt vario 926</t>
  </si>
  <si>
    <t>John Deere 8320</t>
  </si>
  <si>
    <t>Case IH Magnum</t>
  </si>
  <si>
    <t>MF 8270 Xtra</t>
  </si>
  <si>
    <t>Traktor nr</t>
  </si>
  <si>
    <t>Kostnad</t>
  </si>
  <si>
    <t>Kommentar</t>
  </si>
  <si>
    <t>Kostnadskalkyl för redskap</t>
  </si>
  <si>
    <t>Kostnadskalkyl traktorer</t>
  </si>
  <si>
    <t>Inget valt</t>
  </si>
  <si>
    <t>Tegplog</t>
  </si>
  <si>
    <t>Grunddata för maskinkalkyler</t>
  </si>
  <si>
    <t>Redskapstyp</t>
  </si>
  <si>
    <t>Släpbill, ej förr.</t>
  </si>
  <si>
    <t>Skivbill, förredskap</t>
  </si>
  <si>
    <t>effekt ej i arbete, %</t>
  </si>
  <si>
    <t>Vikt (kg)</t>
  </si>
  <si>
    <t>För maskinkostnader</t>
  </si>
  <si>
    <t>För bränsleförbrukning</t>
  </si>
  <si>
    <t xml:space="preserve">Lerhalt </t>
  </si>
  <si>
    <t>Verkningsgrad i motor, %</t>
  </si>
  <si>
    <t>Effektförlust motor och transmission, %</t>
  </si>
  <si>
    <t>Koefficient för rullmotstånd</t>
  </si>
  <si>
    <t>Energiinnehåll bränsle (MJ/l)</t>
  </si>
  <si>
    <t>Motorbelastning, % av maxeffekt (för effektbehov)</t>
  </si>
  <si>
    <t>Slirning,%</t>
  </si>
  <si>
    <t>Maskinkalkyl</t>
  </si>
  <si>
    <t>Testversion</t>
  </si>
  <si>
    <t xml:space="preserve">Kalkyl för att beräkna maskinkostnader </t>
  </si>
  <si>
    <t xml:space="preserve">Maskinkostnaden är beräknad med en s.k. realkalkyl. Kalkylen görs i dagens penningvärde och räntan justeras nedåt med hänsyn till inflationen.  Kalkylarket är gjort för att vara flexibelt för användaren. Återanskaffningsvärde och arbetsbredd kan erhållas genom att välja redskap i en lista, men värdena kan också anges direkt i arket. I rutor som är vita kan egna värden läggas in. Antalet timmar redskapet används kan beräknas men kan också anges direkt. Bränsleförbrukning beräknas från jordart, redskapstyp, hastighet, arbetsbredd och -djup men kan också anges direkt.  </t>
  </si>
  <si>
    <t>Smörjmedelskostnad,  % påslag på drivmedelskostnad</t>
  </si>
  <si>
    <t>Namn</t>
  </si>
  <si>
    <t>Antal ha</t>
  </si>
  <si>
    <t>Överfarter</t>
  </si>
  <si>
    <t>Totalt</t>
  </si>
  <si>
    <t>Lejd tjänst</t>
  </si>
  <si>
    <t>kr/ha</t>
  </si>
  <si>
    <t>Extra timmar per år</t>
  </si>
  <si>
    <t>Extra körning</t>
  </si>
  <si>
    <t>Förfrukt</t>
  </si>
  <si>
    <t>Gröda/skifte</t>
  </si>
  <si>
    <t>Kostnad/ha</t>
  </si>
  <si>
    <t>Sammanställning</t>
  </si>
  <si>
    <t>Grödor</t>
  </si>
  <si>
    <t>I kalkylarket Grunddata anges grundläggande data, t.ex. realränta, som används i samtliga kalkyler. I arket traktorkalkyl läggs värden in för gårdens traktorer. I arket redskapskalkyl anges data och beräknas kostnader för samtliga redskap. Grunddata för traktorer och redskap kan hämtas från Traktordata och Maskindata, där också egna värden kan läggas in. Användningen av olika redskap anges i arket Grödor. Där kan också anges extra körning med redskapen (t.ex.legokörning). Lämplig arbetsgång är därför Grunddata - Traktorkalkyl -Redskapskalkyl-Grödor.</t>
  </si>
  <si>
    <t>Exempel på underhållsfaktorer.</t>
  </si>
  <si>
    <t>Källa: Christer Johansson, Maskinkalkyl, beräkning av maskinkostnader, Hushållningssällskapet i Östergötland, efter undersökningar vid institutionen för lantbruksteknik, SLU.</t>
  </si>
  <si>
    <t>Maskin</t>
  </si>
  <si>
    <t>Normalt underhåll, kr/tim, 1000 kr Å</t>
  </si>
  <si>
    <t>medeltal</t>
  </si>
  <si>
    <t>1-6 år</t>
  </si>
  <si>
    <t>7 år-</t>
  </si>
  <si>
    <t>Buren tegplog</t>
  </si>
  <si>
    <t>lätt</t>
  </si>
  <si>
    <t>medel</t>
  </si>
  <si>
    <t>svårt</t>
  </si>
  <si>
    <t>Delburen tegplog</t>
  </si>
  <si>
    <t>Buren växelplog</t>
  </si>
  <si>
    <t>Hjulharv, medharv</t>
  </si>
  <si>
    <t>Rotorkultivator</t>
  </si>
  <si>
    <t>Vält</t>
  </si>
  <si>
    <t>Tallriksredskap, lätt</t>
  </si>
  <si>
    <t>Tallriksredskap, tungt</t>
  </si>
  <si>
    <t>Kombisåmaskin</t>
  </si>
  <si>
    <t>Potatissättare</t>
  </si>
  <si>
    <t>1-3 år</t>
  </si>
  <si>
    <t>4 år-</t>
  </si>
  <si>
    <t>Kultivatorer</t>
  </si>
  <si>
    <t>Såmaskin, fläkt</t>
  </si>
  <si>
    <t>Modell</t>
  </si>
  <si>
    <t>Vikt, kg</t>
  </si>
  <si>
    <t>Pris</t>
  </si>
  <si>
    <t>Effekt (kW)</t>
  </si>
  <si>
    <t>Kostnad arbetskraft, kr/h</t>
  </si>
  <si>
    <t>Drivmedelspris, kr/l</t>
  </si>
  <si>
    <t>Johan Arvidsson och Daniel Eriksson, avd. för jordbearbetning, SLU</t>
  </si>
  <si>
    <t>Avverkning h/ha</t>
  </si>
  <si>
    <t>Kr totalt</t>
  </si>
  <si>
    <t>Samtliga</t>
  </si>
  <si>
    <t>Traktorkostnad</t>
  </si>
  <si>
    <t>Redskap,kr/tim</t>
  </si>
  <si>
    <t>Bränsle kr/tim</t>
  </si>
  <si>
    <t>Traktor kr/tim</t>
  </si>
  <si>
    <t>Totalt kr/ha</t>
  </si>
  <si>
    <t>Totalt, kr/tim (inkl. arbete)</t>
  </si>
  <si>
    <t>Avsaluvärde relativt inköpspris, %</t>
  </si>
  <si>
    <t>Årlig värdeminskning redskap, %</t>
  </si>
  <si>
    <t>Årlig värdeminskning traktorer, %</t>
  </si>
  <si>
    <t>Tröska</t>
  </si>
  <si>
    <t>10 fot</t>
  </si>
  <si>
    <t>12 fot</t>
  </si>
  <si>
    <t>14 fot</t>
  </si>
  <si>
    <t>16 fot</t>
  </si>
  <si>
    <t>18 fot</t>
  </si>
  <si>
    <t>20 fot</t>
  </si>
  <si>
    <t>22 fot</t>
  </si>
  <si>
    <t>24 fot</t>
  </si>
  <si>
    <t>30 fot</t>
  </si>
  <si>
    <t>Körs med traktor nr (0 för tröska)</t>
  </si>
  <si>
    <t>Underhållsfaktorer beräknade från JTI:s kalkylark för maskinkostnader, Sone Ekman. Värdena avser medeltal för en avskrivningstid på 10 år</t>
  </si>
  <si>
    <t>Traktor</t>
  </si>
  <si>
    <t>Lastmaskin</t>
  </si>
  <si>
    <t>Skördetröska</t>
  </si>
  <si>
    <t>Plog, teg buren</t>
  </si>
  <si>
    <t>Plog, teg delburen</t>
  </si>
  <si>
    <t>Plog, växel</t>
  </si>
  <si>
    <t>Tiltpackare</t>
  </si>
  <si>
    <t>Harv</t>
  </si>
  <si>
    <t>Tallriksharv</t>
  </si>
  <si>
    <t>Såmaskin, konv</t>
  </si>
  <si>
    <t>Konstgödselspr, mindre</t>
  </si>
  <si>
    <t>Konstgödselspr, bogs/ramp</t>
  </si>
  <si>
    <t>Spruta, buren</t>
  </si>
  <si>
    <t>Spruta, bogserad</t>
  </si>
  <si>
    <t>Höstvete</t>
  </si>
  <si>
    <t>Traktor 5</t>
  </si>
  <si>
    <t>Traktor 6</t>
  </si>
  <si>
    <t>Sammanställning maskinkostnader</t>
  </si>
  <si>
    <t>Kostnader/år</t>
  </si>
  <si>
    <t xml:space="preserve"> </t>
  </si>
  <si>
    <t>Kr/tim</t>
  </si>
  <si>
    <t>Kr/ha</t>
  </si>
  <si>
    <t>Timmar/år</t>
  </si>
  <si>
    <t>Värdem.</t>
  </si>
  <si>
    <t xml:space="preserve">Summa redskap </t>
  </si>
  <si>
    <t>Kostnad extra timmar</t>
  </si>
  <si>
    <t>Traktorer</t>
  </si>
  <si>
    <t>kW</t>
  </si>
  <si>
    <t>Summa</t>
  </si>
  <si>
    <t>Arbete</t>
  </si>
  <si>
    <t>Summa traktorer</t>
  </si>
  <si>
    <t>Maskinvestering/ha</t>
  </si>
  <si>
    <t>Bränsle totalt, liter/år</t>
  </si>
  <si>
    <t>Summa traktorer och redskap, ej bränsle och arbete</t>
  </si>
  <si>
    <t>Från ark grödor:</t>
  </si>
  <si>
    <t>Arbete, tim/ha</t>
  </si>
  <si>
    <t>Inkl.arb.</t>
  </si>
  <si>
    <t>o. traktor</t>
  </si>
  <si>
    <t>Bränsleförbr. extratimmar l/tim</t>
  </si>
  <si>
    <t>Extra tim.</t>
  </si>
  <si>
    <t>Skatt, förs.</t>
  </si>
  <si>
    <t>Summa bränsle, inkl. extra timmar traktor</t>
  </si>
  <si>
    <t>Maskinvestering, kr</t>
  </si>
  <si>
    <t>Tim./år m.</t>
  </si>
  <si>
    <t>redskap</t>
  </si>
  <si>
    <t>tim totalt</t>
  </si>
  <si>
    <t>tim/ha</t>
  </si>
  <si>
    <t>Täckningsbidrag</t>
  </si>
  <si>
    <t>Gröda</t>
  </si>
  <si>
    <t>Intäkter</t>
  </si>
  <si>
    <t>Kvant</t>
  </si>
  <si>
    <t>Kronor</t>
  </si>
  <si>
    <t>Kärna</t>
  </si>
  <si>
    <t>Arealersättning</t>
  </si>
  <si>
    <t>Direkta kostnader</t>
  </si>
  <si>
    <t>Utsäde</t>
  </si>
  <si>
    <t>Växtskydd ogräs</t>
  </si>
  <si>
    <t>Växtskydd insekt</t>
  </si>
  <si>
    <t>Växtskydd svamp</t>
  </si>
  <si>
    <t>Övrigt</t>
  </si>
  <si>
    <t>Summa direkta kostnader</t>
  </si>
  <si>
    <t>Övriga rörliga</t>
  </si>
  <si>
    <t>Transport</t>
  </si>
  <si>
    <t>Torkning</t>
  </si>
  <si>
    <t>Analys/div.</t>
  </si>
  <si>
    <t>Ränta rörelsekap</t>
  </si>
  <si>
    <t>Summa övriga rörliga kostnader</t>
  </si>
  <si>
    <t>Summa kostnader</t>
  </si>
  <si>
    <t>Täckningsbidrag 1</t>
  </si>
  <si>
    <t>Maskinkostnader</t>
  </si>
  <si>
    <t>Från ark täckningsbidrag:</t>
  </si>
  <si>
    <t>Maskinkostnad/ha</t>
  </si>
  <si>
    <t>Maskinkostnad totalt</t>
  </si>
  <si>
    <t>Nyckeltal</t>
  </si>
  <si>
    <t>Gödning</t>
  </si>
  <si>
    <t>Täckningsbidrag 2</t>
  </si>
  <si>
    <t>Övrigt (ex. halm)</t>
  </si>
  <si>
    <t>TB 2 hela arealen</t>
  </si>
  <si>
    <t>Summa TB2</t>
  </si>
  <si>
    <t>TB2/ha</t>
  </si>
  <si>
    <t>Summa arbete, inkl. extra timmar traktor</t>
  </si>
  <si>
    <t>Korn</t>
  </si>
  <si>
    <t>Vårvete</t>
  </si>
  <si>
    <t>Havre</t>
  </si>
  <si>
    <t>Ärter</t>
  </si>
  <si>
    <t>Höstoljeväxter</t>
  </si>
  <si>
    <t>Våroljeväxter</t>
  </si>
  <si>
    <t>Andra kostnader</t>
  </si>
  <si>
    <t>Ingen gröda</t>
  </si>
  <si>
    <t>Träda</t>
  </si>
  <si>
    <t>Lin</t>
  </si>
  <si>
    <t>Arbete tim. totalt</t>
  </si>
  <si>
    <t xml:space="preserve"> Täckningsbidrag (TB2)</t>
  </si>
  <si>
    <t>Kvickrot/kalkning</t>
  </si>
  <si>
    <t>Arbete (exkl. körning maskiner)</t>
  </si>
  <si>
    <t>Axan</t>
  </si>
  <si>
    <t>Ks</t>
  </si>
  <si>
    <t>PK13-13</t>
  </si>
  <si>
    <t>PK 13-13</t>
  </si>
  <si>
    <t>24-4-5</t>
  </si>
  <si>
    <t>Pk 13-13</t>
  </si>
  <si>
    <t>Bladdödn.</t>
  </si>
  <si>
    <t>Svavelsalp</t>
  </si>
  <si>
    <t>Fältkapacitetsfaktor</t>
  </si>
  <si>
    <t>Arbetsbredd (m)</t>
  </si>
  <si>
    <t>Bränsleförbrukning beräknad, liter/ha</t>
  </si>
  <si>
    <t>Bränsleförbrukning egen, liter/ha</t>
  </si>
  <si>
    <t>Såmaskin ej kombi</t>
  </si>
  <si>
    <t>Korrigering skördevärde (ex. pga. förfrukt)</t>
  </si>
  <si>
    <t>Släpbill</t>
  </si>
  <si>
    <t>Typ "Carrier, 3 m</t>
  </si>
  <si>
    <r>
      <t>Lista över redskap</t>
    </r>
    <r>
      <rPr>
        <sz val="10"/>
        <rFont val="Arial"/>
        <family val="0"/>
      </rPr>
      <t xml:space="preserve">. Här kan du ändra eller lägga till egna redskap. Redskapen står i olika grupper med 20 rader för varje redskapsgrupp. </t>
    </r>
  </si>
  <si>
    <t>Ingen vald</t>
  </si>
  <si>
    <t>Arbetsdjup, cm (max)</t>
  </si>
</sst>
</file>

<file path=xl/styles.xml><?xml version="1.0" encoding="utf-8"?>
<styleSheet xmlns="http://schemas.openxmlformats.org/spreadsheetml/2006/main">
  <numFmts count="31">
    <numFmt numFmtId="5" formatCode="#,##0\ &quot;SEK&quot;;\-#,##0\ &quot;SEK&quot;"/>
    <numFmt numFmtId="6" formatCode="#,##0\ &quot;SEK&quot;;[Red]\-#,##0\ &quot;SEK&quot;"/>
    <numFmt numFmtId="7" formatCode="#,##0.00\ &quot;SEK&quot;;\-#,##0.00\ &quot;SEK&quot;"/>
    <numFmt numFmtId="8" formatCode="#,##0.00\ &quot;SEK&quot;;[Red]\-#,##0.00\ &quot;SEK&quot;"/>
    <numFmt numFmtId="42" formatCode="_-* #,##0\ &quot;SEK&quot;_-;\-* #,##0\ &quot;SEK&quot;_-;_-* &quot;-&quot;\ &quot;SEK&quot;_-;_-@_-"/>
    <numFmt numFmtId="41" formatCode="_-* #,##0\ _S_E_K_-;\-* #,##0\ _S_E_K_-;_-* &quot;-&quot;\ _S_E_K_-;_-@_-"/>
    <numFmt numFmtId="44" formatCode="_-* #,##0.00\ &quot;SEK&quot;_-;\-* #,##0.00\ &quot;SEK&quot;_-;_-* &quot;-&quot;??\ &quot;SEK&quot;_-;_-@_-"/>
    <numFmt numFmtId="43" formatCode="_-* #,##0.00\ _S_E_K_-;\-* #,##0.00\ _S_E_K_-;_-* &quot;-&quot;??\ _S_E_K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 ###\ ###\ ##0"/>
    <numFmt numFmtId="181" formatCode="&quot;Yes&quot;;&quot;Yes&quot;;&quot;No&quot;"/>
    <numFmt numFmtId="182" formatCode="&quot;True&quot;;&quot;True&quot;;&quot;False&quot;"/>
    <numFmt numFmtId="183" formatCode="&quot;On&quot;;&quot;On&quot;;&quot;Off&quot;"/>
    <numFmt numFmtId="184" formatCode="[$€-2]\ #,##0.00_);[Red]\([$€-2]\ #,##0.00\)"/>
    <numFmt numFmtId="185" formatCode="0.0"/>
    <numFmt numFmtId="186" formatCode="000\ 00"/>
  </numFmts>
  <fonts count="53">
    <font>
      <sz val="10"/>
      <name val="Arial"/>
      <family val="0"/>
    </font>
    <font>
      <sz val="8"/>
      <name val="Arial"/>
      <family val="0"/>
    </font>
    <font>
      <b/>
      <sz val="10"/>
      <name val="Arial"/>
      <family val="2"/>
    </font>
    <font>
      <u val="single"/>
      <sz val="10"/>
      <color indexed="12"/>
      <name val="Arial"/>
      <family val="0"/>
    </font>
    <font>
      <u val="single"/>
      <sz val="10"/>
      <color indexed="36"/>
      <name val="Arial"/>
      <family val="0"/>
    </font>
    <font>
      <b/>
      <sz val="12"/>
      <name val="Arial"/>
      <family val="0"/>
    </font>
    <font>
      <sz val="14"/>
      <name val="Arial"/>
      <family val="0"/>
    </font>
    <font>
      <i/>
      <sz val="10"/>
      <name val="Arial"/>
      <family val="2"/>
    </font>
    <font>
      <b/>
      <sz val="8"/>
      <name val="Tahoma"/>
      <family val="0"/>
    </font>
    <font>
      <sz val="8"/>
      <name val="Tahoma"/>
      <family val="0"/>
    </font>
    <font>
      <sz val="9"/>
      <name val="Arial"/>
      <family val="2"/>
    </font>
    <font>
      <b/>
      <sz val="11"/>
      <name val="Times New Roman"/>
      <family val="1"/>
    </font>
    <font>
      <sz val="9"/>
      <name val="Times New Roman"/>
      <family val="1"/>
    </font>
    <font>
      <b/>
      <sz val="9"/>
      <name val="Times New Roman"/>
      <family val="1"/>
    </font>
    <font>
      <b/>
      <i/>
      <sz val="9"/>
      <name val="Times New Roman"/>
      <family val="1"/>
    </font>
    <font>
      <i/>
      <sz val="9"/>
      <name val="Times New Roman"/>
      <family val="1"/>
    </font>
    <font>
      <sz val="1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3"/>
      <name val="Lucida Grande"/>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13"/>
        <bgColor indexed="64"/>
      </patternFill>
    </fill>
    <fill>
      <patternFill patternType="solid">
        <fgColor indexed="34"/>
        <bgColor indexed="64"/>
      </patternFill>
    </fill>
    <fill>
      <patternFill patternType="solid">
        <fgColor indexed="44"/>
        <bgColor indexed="64"/>
      </patternFill>
    </fill>
    <fill>
      <patternFill patternType="solid">
        <fgColor indexed="9"/>
        <bgColor indexed="64"/>
      </patternFill>
    </fill>
    <fill>
      <patternFill patternType="solid">
        <fgColor indexed="41"/>
        <bgColor indexed="64"/>
      </patternFill>
    </fill>
    <fill>
      <patternFill patternType="solid">
        <fgColor indexed="42"/>
        <bgColor indexed="64"/>
      </patternFill>
    </fill>
    <fill>
      <patternFill patternType="solid">
        <fgColor indexed="27"/>
        <bgColor indexed="64"/>
      </patternFill>
    </fill>
    <fill>
      <patternFill patternType="solid">
        <fgColor indexed="2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color indexed="63"/>
      </right>
      <top>
        <color indexed="63"/>
      </top>
      <bottom style="dotted"/>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style="thin"/>
      <top>
        <color indexed="63"/>
      </top>
      <bottom style="thin"/>
    </border>
    <border>
      <left style="medium"/>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0" applyNumberFormat="0" applyFill="0" applyBorder="0" applyAlignment="0" applyProtection="0"/>
    <xf numFmtId="0" fontId="4"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3"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220">
    <xf numFmtId="0" fontId="0" fillId="0" borderId="0" xfId="0" applyAlignment="1">
      <alignment/>
    </xf>
    <xf numFmtId="0" fontId="0" fillId="0" borderId="0" xfId="0" applyBorder="1" applyAlignment="1">
      <alignment/>
    </xf>
    <xf numFmtId="0" fontId="0" fillId="33" borderId="0" xfId="0" applyFill="1" applyAlignment="1">
      <alignment/>
    </xf>
    <xf numFmtId="0" fontId="0" fillId="33" borderId="0" xfId="0" applyFill="1" applyAlignment="1">
      <alignment horizontal="center"/>
    </xf>
    <xf numFmtId="3" fontId="0" fillId="33" borderId="0" xfId="0" applyNumberFormat="1" applyFill="1" applyAlignment="1">
      <alignment horizontal="center"/>
    </xf>
    <xf numFmtId="9" fontId="0" fillId="33" borderId="0" xfId="0" applyNumberFormat="1" applyFill="1" applyAlignment="1">
      <alignment horizontal="center"/>
    </xf>
    <xf numFmtId="3" fontId="0" fillId="33" borderId="0" xfId="0" applyNumberFormat="1" applyFill="1" applyBorder="1" applyAlignment="1">
      <alignment horizontal="center"/>
    </xf>
    <xf numFmtId="9" fontId="0" fillId="0" borderId="10" xfId="0" applyNumberFormat="1" applyFill="1" applyBorder="1" applyAlignment="1" applyProtection="1">
      <alignment horizontal="center"/>
      <protection locked="0"/>
    </xf>
    <xf numFmtId="9" fontId="0" fillId="0" borderId="0" xfId="0" applyNumberFormat="1" applyFill="1" applyBorder="1" applyAlignment="1" applyProtection="1">
      <alignment horizontal="center"/>
      <protection locked="0"/>
    </xf>
    <xf numFmtId="0" fontId="0" fillId="0" borderId="0" xfId="0" applyFill="1" applyBorder="1" applyAlignment="1" applyProtection="1">
      <alignment/>
      <protection locked="0"/>
    </xf>
    <xf numFmtId="3" fontId="0" fillId="0" borderId="0" xfId="0" applyNumberFormat="1" applyFill="1" applyBorder="1" applyAlignment="1" applyProtection="1">
      <alignment horizontal="center"/>
      <protection locked="0"/>
    </xf>
    <xf numFmtId="0" fontId="0" fillId="0" borderId="0" xfId="0" applyBorder="1" applyAlignment="1" applyProtection="1">
      <alignment/>
      <protection locked="0"/>
    </xf>
    <xf numFmtId="3" fontId="0" fillId="0" borderId="0" xfId="0" applyNumberFormat="1" applyBorder="1" applyAlignment="1" applyProtection="1">
      <alignment/>
      <protection locked="0"/>
    </xf>
    <xf numFmtId="0" fontId="2" fillId="33" borderId="0" xfId="0" applyFont="1" applyFill="1" applyAlignment="1">
      <alignment wrapText="1"/>
    </xf>
    <xf numFmtId="0" fontId="0" fillId="33" borderId="0" xfId="0" applyFill="1" applyAlignment="1">
      <alignment wrapText="1"/>
    </xf>
    <xf numFmtId="0" fontId="2" fillId="33" borderId="0" xfId="0" applyFont="1" applyFill="1" applyBorder="1" applyAlignment="1">
      <alignment wrapText="1"/>
    </xf>
    <xf numFmtId="0" fontId="0" fillId="0" borderId="11" xfId="0" applyFill="1" applyBorder="1" applyAlignment="1" applyProtection="1">
      <alignment wrapText="1"/>
      <protection locked="0"/>
    </xf>
    <xf numFmtId="0" fontId="0" fillId="34" borderId="0" xfId="0" applyFill="1" applyAlignment="1">
      <alignment/>
    </xf>
    <xf numFmtId="0" fontId="0" fillId="0" borderId="0" xfId="0" applyFill="1" applyAlignment="1">
      <alignment/>
    </xf>
    <xf numFmtId="0" fontId="0" fillId="0" borderId="0" xfId="0" applyFill="1" applyAlignment="1">
      <alignment horizontal="center"/>
    </xf>
    <xf numFmtId="3" fontId="0" fillId="0" borderId="0" xfId="0" applyNumberFormat="1" applyFill="1" applyAlignment="1">
      <alignment/>
    </xf>
    <xf numFmtId="3" fontId="0" fillId="0" borderId="0" xfId="0" applyNumberFormat="1" applyFill="1" applyAlignment="1">
      <alignment horizontal="right"/>
    </xf>
    <xf numFmtId="1" fontId="0" fillId="0" borderId="0" xfId="0" applyNumberFormat="1" applyBorder="1" applyAlignment="1">
      <alignment/>
    </xf>
    <xf numFmtId="1" fontId="0" fillId="0" borderId="0" xfId="0" applyNumberFormat="1" applyAlignment="1">
      <alignment/>
    </xf>
    <xf numFmtId="2" fontId="0" fillId="0" borderId="0" xfId="0" applyNumberFormat="1" applyAlignment="1">
      <alignment/>
    </xf>
    <xf numFmtId="0" fontId="5" fillId="0" borderId="0" xfId="0" applyFont="1" applyAlignment="1">
      <alignment/>
    </xf>
    <xf numFmtId="0" fontId="0" fillId="35" borderId="0" xfId="0" applyFill="1" applyBorder="1" applyAlignment="1">
      <alignment/>
    </xf>
    <xf numFmtId="2" fontId="0" fillId="35" borderId="0" xfId="0" applyNumberFormat="1" applyFill="1" applyBorder="1" applyAlignment="1">
      <alignment/>
    </xf>
    <xf numFmtId="0" fontId="2" fillId="35" borderId="0" xfId="0" applyFont="1" applyFill="1" applyBorder="1" applyAlignment="1">
      <alignment/>
    </xf>
    <xf numFmtId="0" fontId="5" fillId="35" borderId="0" xfId="0" applyFont="1" applyFill="1" applyAlignment="1">
      <alignment/>
    </xf>
    <xf numFmtId="1" fontId="0" fillId="36" borderId="0" xfId="0" applyNumberFormat="1" applyFill="1" applyBorder="1" applyAlignment="1">
      <alignment/>
    </xf>
    <xf numFmtId="0" fontId="0" fillId="34" borderId="0" xfId="0" applyFill="1" applyBorder="1" applyAlignment="1">
      <alignment/>
    </xf>
    <xf numFmtId="0" fontId="2" fillId="34" borderId="0" xfId="0" applyFont="1" applyFill="1" applyBorder="1" applyAlignment="1">
      <alignment/>
    </xf>
    <xf numFmtId="0" fontId="0" fillId="34" borderId="12" xfId="0" applyFill="1" applyBorder="1" applyAlignment="1">
      <alignment/>
    </xf>
    <xf numFmtId="0" fontId="6" fillId="34" borderId="0" xfId="0" applyFont="1" applyFill="1" applyAlignment="1">
      <alignment/>
    </xf>
    <xf numFmtId="0" fontId="7" fillId="34" borderId="0" xfId="0" applyFont="1" applyFill="1" applyAlignment="1">
      <alignment/>
    </xf>
    <xf numFmtId="0" fontId="6" fillId="0" borderId="0" xfId="0" applyFont="1" applyBorder="1" applyAlignment="1">
      <alignment/>
    </xf>
    <xf numFmtId="0" fontId="7" fillId="0" borderId="0" xfId="0" applyFont="1" applyBorder="1" applyAlignment="1">
      <alignment/>
    </xf>
    <xf numFmtId="0" fontId="0" fillId="0" borderId="0" xfId="0" applyAlignment="1">
      <alignment wrapText="1"/>
    </xf>
    <xf numFmtId="0" fontId="0" fillId="0" borderId="0" xfId="0" applyAlignment="1" applyProtection="1">
      <alignment/>
      <protection locked="0"/>
    </xf>
    <xf numFmtId="1" fontId="0" fillId="0" borderId="0" xfId="0" applyNumberFormat="1" applyBorder="1" applyAlignment="1" applyProtection="1">
      <alignment/>
      <protection locked="0"/>
    </xf>
    <xf numFmtId="1" fontId="0" fillId="0" borderId="0" xfId="0" applyNumberFormat="1" applyFill="1" applyBorder="1" applyAlignment="1" applyProtection="1">
      <alignment/>
      <protection locked="0"/>
    </xf>
    <xf numFmtId="1" fontId="0" fillId="0" borderId="0" xfId="0" applyNumberFormat="1" applyAlignment="1" applyProtection="1">
      <alignment/>
      <protection locked="0"/>
    </xf>
    <xf numFmtId="2" fontId="0" fillId="0" borderId="0" xfId="0" applyNumberFormat="1" applyBorder="1" applyAlignment="1" applyProtection="1">
      <alignment/>
      <protection locked="0"/>
    </xf>
    <xf numFmtId="1" fontId="0" fillId="37" borderId="0" xfId="0" applyNumberFormat="1" applyFill="1" applyBorder="1" applyAlignment="1" applyProtection="1">
      <alignment/>
      <protection locked="0"/>
    </xf>
    <xf numFmtId="185" fontId="0" fillId="0" borderId="0" xfId="0" applyNumberFormat="1" applyBorder="1" applyAlignment="1" applyProtection="1">
      <alignment/>
      <protection locked="0"/>
    </xf>
    <xf numFmtId="0" fontId="0" fillId="34" borderId="0" xfId="0" applyNumberFormat="1" applyFill="1" applyAlignment="1">
      <alignment/>
    </xf>
    <xf numFmtId="0" fontId="0" fillId="38" borderId="0" xfId="0" applyFill="1" applyAlignment="1">
      <alignment/>
    </xf>
    <xf numFmtId="0" fontId="0" fillId="34" borderId="13" xfId="0" applyFill="1" applyBorder="1" applyAlignment="1">
      <alignment/>
    </xf>
    <xf numFmtId="0" fontId="0" fillId="39" borderId="13" xfId="0" applyFill="1" applyBorder="1" applyAlignment="1">
      <alignment/>
    </xf>
    <xf numFmtId="0" fontId="0" fillId="34" borderId="13" xfId="0" applyFont="1" applyFill="1" applyBorder="1" applyAlignment="1">
      <alignment/>
    </xf>
    <xf numFmtId="1" fontId="7" fillId="39" borderId="13" xfId="0" applyNumberFormat="1" applyFont="1" applyFill="1" applyBorder="1" applyAlignment="1">
      <alignment/>
    </xf>
    <xf numFmtId="0" fontId="7" fillId="39" borderId="13" xfId="0" applyFont="1" applyFill="1" applyBorder="1" applyAlignment="1">
      <alignment/>
    </xf>
    <xf numFmtId="0" fontId="6" fillId="38" borderId="0" xfId="0" applyFont="1" applyFill="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37" borderId="16" xfId="0" applyFill="1" applyBorder="1" applyAlignment="1" applyProtection="1">
      <alignment/>
      <protection locked="0"/>
    </xf>
    <xf numFmtId="2" fontId="0" fillId="34" borderId="13" xfId="0" applyNumberFormat="1" applyFill="1" applyBorder="1" applyAlignment="1">
      <alignment/>
    </xf>
    <xf numFmtId="2" fontId="0" fillId="38" borderId="0" xfId="0" applyNumberFormat="1" applyFill="1" applyBorder="1" applyAlignment="1">
      <alignment/>
    </xf>
    <xf numFmtId="1" fontId="0" fillId="38" borderId="0" xfId="0" applyNumberFormat="1" applyFill="1" applyBorder="1" applyAlignment="1" applyProtection="1">
      <alignment/>
      <protection/>
    </xf>
    <xf numFmtId="1" fontId="0" fillId="38" borderId="0" xfId="0" applyNumberFormat="1" applyFill="1" applyAlignment="1" applyProtection="1">
      <alignment/>
      <protection/>
    </xf>
    <xf numFmtId="1" fontId="0" fillId="38" borderId="0" xfId="0" applyNumberFormat="1" applyFill="1" applyBorder="1" applyAlignment="1">
      <alignment/>
    </xf>
    <xf numFmtId="1" fontId="0" fillId="38" borderId="0" xfId="0" applyNumberFormat="1" applyFill="1" applyAlignment="1">
      <alignment/>
    </xf>
    <xf numFmtId="2" fontId="0" fillId="38" borderId="0" xfId="0" applyNumberFormat="1" applyFill="1" applyBorder="1" applyAlignment="1" applyProtection="1">
      <alignment/>
      <protection/>
    </xf>
    <xf numFmtId="2" fontId="0" fillId="37" borderId="0" xfId="0" applyNumberFormat="1" applyFill="1" applyBorder="1" applyAlignment="1" applyProtection="1">
      <alignment/>
      <protection locked="0"/>
    </xf>
    <xf numFmtId="0" fontId="10" fillId="0" borderId="0" xfId="0" applyFont="1" applyAlignment="1">
      <alignment/>
    </xf>
    <xf numFmtId="1" fontId="0" fillId="36" borderId="0" xfId="0" applyNumberFormat="1" applyFill="1" applyBorder="1" applyAlignment="1" applyProtection="1">
      <alignment/>
      <protection/>
    </xf>
    <xf numFmtId="0" fontId="0" fillId="37" borderId="0" xfId="0" applyFill="1" applyAlignment="1" applyProtection="1">
      <alignment/>
      <protection locked="0"/>
    </xf>
    <xf numFmtId="0" fontId="11" fillId="0" borderId="0" xfId="0" applyFont="1" applyAlignment="1">
      <alignment/>
    </xf>
    <xf numFmtId="0" fontId="12" fillId="0" borderId="0" xfId="0" applyFont="1" applyAlignment="1">
      <alignment/>
    </xf>
    <xf numFmtId="0" fontId="12" fillId="0" borderId="17" xfId="0" applyFont="1" applyBorder="1" applyAlignment="1">
      <alignment/>
    </xf>
    <xf numFmtId="0" fontId="12" fillId="0" borderId="18" xfId="0" applyFont="1" applyBorder="1" applyAlignment="1">
      <alignment/>
    </xf>
    <xf numFmtId="0" fontId="13" fillId="0" borderId="17" xfId="0" applyFont="1" applyBorder="1" applyAlignment="1">
      <alignment/>
    </xf>
    <xf numFmtId="0" fontId="12" fillId="0" borderId="19" xfId="0" applyFont="1" applyBorder="1" applyAlignment="1">
      <alignment/>
    </xf>
    <xf numFmtId="0" fontId="13" fillId="0" borderId="14" xfId="0" applyFont="1" applyBorder="1" applyAlignment="1">
      <alignment/>
    </xf>
    <xf numFmtId="0" fontId="14" fillId="0" borderId="20" xfId="0" applyFont="1" applyBorder="1" applyAlignment="1">
      <alignment/>
    </xf>
    <xf numFmtId="0" fontId="15" fillId="0" borderId="0" xfId="0" applyFont="1" applyBorder="1" applyAlignment="1">
      <alignment/>
    </xf>
    <xf numFmtId="0" fontId="15" fillId="0" borderId="20" xfId="0" applyFont="1" applyFill="1" applyBorder="1" applyAlignment="1">
      <alignment/>
    </xf>
    <xf numFmtId="0" fontId="15" fillId="0" borderId="0" xfId="0" applyFont="1" applyFill="1" applyBorder="1" applyAlignment="1">
      <alignment/>
    </xf>
    <xf numFmtId="0" fontId="15" fillId="0" borderId="21" xfId="0" applyFont="1" applyFill="1" applyBorder="1" applyAlignment="1">
      <alignment/>
    </xf>
    <xf numFmtId="0" fontId="15" fillId="0" borderId="15" xfId="0" applyFont="1" applyFill="1" applyBorder="1" applyAlignment="1">
      <alignment/>
    </xf>
    <xf numFmtId="0" fontId="12" fillId="0" borderId="20" xfId="0" applyFont="1" applyBorder="1" applyAlignment="1">
      <alignment/>
    </xf>
    <xf numFmtId="0" fontId="12" fillId="0" borderId="0" xfId="0" applyFont="1" applyBorder="1" applyAlignment="1">
      <alignment/>
    </xf>
    <xf numFmtId="0" fontId="12" fillId="0" borderId="20" xfId="0" applyFont="1" applyFill="1" applyBorder="1" applyAlignment="1">
      <alignment/>
    </xf>
    <xf numFmtId="0" fontId="12" fillId="0" borderId="0" xfId="0" applyFont="1" applyFill="1" applyBorder="1" applyAlignment="1">
      <alignment/>
    </xf>
    <xf numFmtId="0" fontId="12" fillId="0" borderId="0" xfId="0" applyFont="1" applyFill="1" applyAlignment="1">
      <alignment/>
    </xf>
    <xf numFmtId="0" fontId="12" fillId="0" borderId="22" xfId="0" applyFont="1" applyBorder="1" applyAlignment="1">
      <alignment/>
    </xf>
    <xf numFmtId="0" fontId="12" fillId="0" borderId="13" xfId="0" applyFont="1" applyBorder="1" applyAlignment="1">
      <alignment/>
    </xf>
    <xf numFmtId="0" fontId="13" fillId="0" borderId="23" xfId="0" applyFont="1" applyBorder="1" applyAlignment="1">
      <alignment/>
    </xf>
    <xf numFmtId="0" fontId="12" fillId="0" borderId="24" xfId="0" applyFont="1" applyBorder="1" applyAlignment="1">
      <alignment/>
    </xf>
    <xf numFmtId="0" fontId="12" fillId="0" borderId="16" xfId="0" applyFont="1" applyBorder="1" applyAlignment="1">
      <alignment/>
    </xf>
    <xf numFmtId="0" fontId="13" fillId="0" borderId="0" xfId="0" applyFont="1" applyFill="1" applyAlignment="1">
      <alignment/>
    </xf>
    <xf numFmtId="0" fontId="15" fillId="0" borderId="20" xfId="0" applyFont="1" applyBorder="1" applyAlignment="1">
      <alignment/>
    </xf>
    <xf numFmtId="0" fontId="15" fillId="0" borderId="21" xfId="0" applyFont="1" applyBorder="1" applyAlignment="1">
      <alignment/>
    </xf>
    <xf numFmtId="0" fontId="15" fillId="0" borderId="0" xfId="0" applyFont="1" applyFill="1" applyAlignment="1">
      <alignment/>
    </xf>
    <xf numFmtId="0" fontId="12" fillId="0" borderId="21" xfId="0" applyFont="1" applyBorder="1" applyAlignment="1">
      <alignment/>
    </xf>
    <xf numFmtId="0" fontId="13" fillId="0" borderId="0" xfId="0" applyFont="1" applyAlignment="1">
      <alignment/>
    </xf>
    <xf numFmtId="1" fontId="12" fillId="0" borderId="0" xfId="0" applyNumberFormat="1" applyFont="1" applyBorder="1" applyAlignment="1">
      <alignment/>
    </xf>
    <xf numFmtId="1" fontId="12" fillId="0" borderId="20" xfId="0" applyNumberFormat="1" applyFont="1" applyFill="1" applyBorder="1" applyAlignment="1">
      <alignment/>
    </xf>
    <xf numFmtId="1" fontId="12" fillId="0" borderId="0" xfId="0" applyNumberFormat="1" applyFont="1" applyFill="1" applyBorder="1" applyAlignment="1">
      <alignment/>
    </xf>
    <xf numFmtId="0" fontId="15" fillId="0" borderId="0" xfId="0" applyFont="1" applyAlignment="1">
      <alignment/>
    </xf>
    <xf numFmtId="0" fontId="15" fillId="0" borderId="19" xfId="0" applyFont="1" applyFill="1" applyBorder="1" applyAlignment="1">
      <alignment/>
    </xf>
    <xf numFmtId="1" fontId="12" fillId="0" borderId="21" xfId="0" applyNumberFormat="1" applyFont="1" applyFill="1" applyBorder="1" applyAlignment="1">
      <alignment/>
    </xf>
    <xf numFmtId="1" fontId="12" fillId="0" borderId="15" xfId="0" applyNumberFormat="1" applyFont="1" applyFill="1" applyBorder="1" applyAlignment="1">
      <alignment/>
    </xf>
    <xf numFmtId="1" fontId="12" fillId="0" borderId="23" xfId="0" applyNumberFormat="1" applyFont="1" applyFill="1" applyBorder="1" applyAlignment="1">
      <alignment/>
    </xf>
    <xf numFmtId="1" fontId="15" fillId="0" borderId="0" xfId="0" applyNumberFormat="1" applyFont="1" applyBorder="1" applyAlignment="1">
      <alignment/>
    </xf>
    <xf numFmtId="0" fontId="15" fillId="0" borderId="18" xfId="0" applyFont="1" applyBorder="1" applyAlignment="1">
      <alignment/>
    </xf>
    <xf numFmtId="1" fontId="15" fillId="0" borderId="21" xfId="0" applyNumberFormat="1" applyFont="1" applyFill="1" applyBorder="1" applyAlignment="1">
      <alignment/>
    </xf>
    <xf numFmtId="1" fontId="12" fillId="0" borderId="22" xfId="0" applyNumberFormat="1" applyFont="1" applyBorder="1" applyAlignment="1">
      <alignment/>
    </xf>
    <xf numFmtId="1" fontId="12" fillId="0" borderId="24" xfId="0" applyNumberFormat="1" applyFont="1" applyBorder="1" applyAlignment="1">
      <alignment/>
    </xf>
    <xf numFmtId="1" fontId="12" fillId="0" borderId="25" xfId="0" applyNumberFormat="1" applyFont="1" applyBorder="1" applyAlignment="1">
      <alignment/>
    </xf>
    <xf numFmtId="1" fontId="12" fillId="0" borderId="21" xfId="0" applyNumberFormat="1" applyFont="1" applyBorder="1" applyAlignment="1">
      <alignment/>
    </xf>
    <xf numFmtId="1" fontId="12" fillId="0" borderId="13" xfId="0" applyNumberFormat="1" applyFont="1" applyBorder="1" applyAlignment="1">
      <alignment/>
    </xf>
    <xf numFmtId="1" fontId="12" fillId="0" borderId="26" xfId="0" applyNumberFormat="1" applyFont="1" applyBorder="1" applyAlignment="1">
      <alignment/>
    </xf>
    <xf numFmtId="1" fontId="12" fillId="0" borderId="22" xfId="0" applyNumberFormat="1" applyFont="1" applyFill="1" applyBorder="1" applyAlignment="1">
      <alignment/>
    </xf>
    <xf numFmtId="1" fontId="12" fillId="0" borderId="13" xfId="0" applyNumberFormat="1" applyFont="1" applyFill="1" applyBorder="1" applyAlignment="1">
      <alignment/>
    </xf>
    <xf numFmtId="1" fontId="12" fillId="0" borderId="26" xfId="0" applyNumberFormat="1" applyFont="1" applyFill="1" applyBorder="1" applyAlignment="1">
      <alignment/>
    </xf>
    <xf numFmtId="1" fontId="12" fillId="0" borderId="27" xfId="0" applyNumberFormat="1" applyFont="1" applyFill="1" applyBorder="1" applyAlignment="1">
      <alignment/>
    </xf>
    <xf numFmtId="1" fontId="12" fillId="0" borderId="16" xfId="0" applyNumberFormat="1" applyFont="1" applyFill="1" applyBorder="1" applyAlignment="1">
      <alignment/>
    </xf>
    <xf numFmtId="0" fontId="15" fillId="0" borderId="22" xfId="0" applyFont="1" applyBorder="1" applyAlignment="1">
      <alignment/>
    </xf>
    <xf numFmtId="1" fontId="15" fillId="0" borderId="13" xfId="0" applyNumberFormat="1" applyFont="1" applyBorder="1" applyAlignment="1">
      <alignment/>
    </xf>
    <xf numFmtId="1" fontId="15" fillId="0" borderId="26" xfId="0" applyNumberFormat="1" applyFont="1" applyFill="1" applyBorder="1" applyAlignment="1">
      <alignment/>
    </xf>
    <xf numFmtId="0" fontId="15" fillId="0" borderId="22" xfId="0" applyFont="1" applyFill="1" applyBorder="1" applyAlignment="1">
      <alignment/>
    </xf>
    <xf numFmtId="0" fontId="15" fillId="0" borderId="27" xfId="0" applyFont="1" applyFill="1" applyBorder="1" applyAlignment="1">
      <alignment/>
    </xf>
    <xf numFmtId="0" fontId="13" fillId="0" borderId="17" xfId="0" applyFont="1" applyFill="1" applyBorder="1" applyAlignment="1">
      <alignment/>
    </xf>
    <xf numFmtId="1" fontId="15" fillId="0" borderId="20" xfId="0" applyNumberFormat="1" applyFont="1" applyFill="1" applyBorder="1" applyAlignment="1">
      <alignment/>
    </xf>
    <xf numFmtId="1" fontId="12" fillId="0" borderId="19" xfId="0" applyNumberFormat="1" applyFont="1" applyBorder="1" applyAlignment="1">
      <alignment/>
    </xf>
    <xf numFmtId="1" fontId="12" fillId="0" borderId="23" xfId="0" applyNumberFormat="1" applyFont="1" applyBorder="1" applyAlignment="1">
      <alignment/>
    </xf>
    <xf numFmtId="1" fontId="12" fillId="0" borderId="16" xfId="0" applyNumberFormat="1" applyFont="1" applyBorder="1" applyAlignment="1">
      <alignment/>
    </xf>
    <xf numFmtId="2" fontId="12" fillId="0" borderId="21" xfId="0" applyNumberFormat="1" applyFont="1" applyBorder="1" applyAlignment="1">
      <alignment/>
    </xf>
    <xf numFmtId="1" fontId="12" fillId="0" borderId="20" xfId="0" applyNumberFormat="1" applyFont="1" applyBorder="1" applyAlignment="1">
      <alignment/>
    </xf>
    <xf numFmtId="0" fontId="6" fillId="40" borderId="0" xfId="0" applyFont="1" applyFill="1" applyAlignment="1">
      <alignment/>
    </xf>
    <xf numFmtId="0" fontId="0" fillId="40" borderId="0" xfId="0" applyFill="1" applyAlignment="1">
      <alignment/>
    </xf>
    <xf numFmtId="0" fontId="7" fillId="40" borderId="17" xfId="0" applyFont="1" applyFill="1" applyBorder="1" applyAlignment="1">
      <alignment/>
    </xf>
    <xf numFmtId="1" fontId="0" fillId="40" borderId="19" xfId="0" applyNumberFormat="1" applyFill="1" applyBorder="1" applyAlignment="1">
      <alignment/>
    </xf>
    <xf numFmtId="0" fontId="0" fillId="40" borderId="19" xfId="0" applyFill="1" applyBorder="1" applyAlignment="1">
      <alignment/>
    </xf>
    <xf numFmtId="0" fontId="0" fillId="40" borderId="0" xfId="0" applyFill="1" applyBorder="1" applyAlignment="1">
      <alignment/>
    </xf>
    <xf numFmtId="1" fontId="0" fillId="40" borderId="21" xfId="0" applyNumberFormat="1" applyFill="1" applyBorder="1" applyAlignment="1">
      <alignment/>
    </xf>
    <xf numFmtId="0" fontId="0" fillId="40" borderId="21" xfId="0" applyFill="1" applyBorder="1" applyAlignment="1">
      <alignment/>
    </xf>
    <xf numFmtId="0" fontId="7" fillId="35" borderId="0" xfId="0" applyFont="1" applyFill="1" applyAlignment="1">
      <alignment/>
    </xf>
    <xf numFmtId="0" fontId="2" fillId="35" borderId="20" xfId="0" applyFont="1" applyFill="1" applyBorder="1" applyAlignment="1">
      <alignment/>
    </xf>
    <xf numFmtId="1" fontId="2" fillId="35" borderId="21" xfId="0" applyNumberFormat="1" applyFont="1" applyFill="1" applyBorder="1" applyAlignment="1">
      <alignment/>
    </xf>
    <xf numFmtId="0" fontId="0" fillId="40" borderId="14" xfId="0" applyFill="1" applyBorder="1" applyAlignment="1">
      <alignment/>
    </xf>
    <xf numFmtId="0" fontId="0" fillId="40" borderId="15" xfId="0" applyFill="1" applyBorder="1" applyAlignment="1">
      <alignment/>
    </xf>
    <xf numFmtId="0" fontId="7" fillId="40" borderId="20" xfId="0" applyFont="1" applyFill="1" applyBorder="1" applyAlignment="1">
      <alignment/>
    </xf>
    <xf numFmtId="0" fontId="0" fillId="35" borderId="20" xfId="0" applyFill="1" applyBorder="1" applyAlignment="1">
      <alignment/>
    </xf>
    <xf numFmtId="1" fontId="0" fillId="35" borderId="21" xfId="0" applyNumberFormat="1" applyFill="1" applyBorder="1" applyAlignment="1">
      <alignment/>
    </xf>
    <xf numFmtId="0" fontId="0" fillId="35" borderId="0" xfId="0" applyFill="1" applyAlignment="1" applyProtection="1">
      <alignment/>
      <protection locked="0"/>
    </xf>
    <xf numFmtId="0" fontId="0" fillId="0" borderId="20" xfId="0" applyBorder="1" applyAlignment="1" applyProtection="1">
      <alignment/>
      <protection locked="0"/>
    </xf>
    <xf numFmtId="0" fontId="2" fillId="35" borderId="0" xfId="0" applyFont="1" applyFill="1" applyAlignment="1" applyProtection="1">
      <alignment/>
      <protection locked="0"/>
    </xf>
    <xf numFmtId="0" fontId="7" fillId="35" borderId="0" xfId="0" applyFont="1" applyFill="1" applyAlignment="1" applyProtection="1">
      <alignment/>
      <protection locked="0"/>
    </xf>
    <xf numFmtId="1" fontId="0" fillId="0" borderId="22" xfId="0" applyNumberFormat="1" applyBorder="1" applyAlignment="1" applyProtection="1">
      <alignment/>
      <protection locked="0"/>
    </xf>
    <xf numFmtId="1" fontId="0" fillId="0" borderId="13" xfId="0" applyNumberFormat="1" applyBorder="1" applyAlignment="1" applyProtection="1">
      <alignment/>
      <protection locked="0"/>
    </xf>
    <xf numFmtId="0" fontId="2" fillId="35" borderId="27" xfId="0" applyFont="1" applyFill="1" applyBorder="1" applyAlignment="1" applyProtection="1">
      <alignment/>
      <protection locked="0"/>
    </xf>
    <xf numFmtId="0" fontId="0" fillId="0" borderId="0" xfId="0" applyFill="1" applyBorder="1" applyAlignment="1">
      <alignment/>
    </xf>
    <xf numFmtId="1" fontId="0" fillId="0" borderId="0" xfId="0" applyNumberFormat="1" applyFill="1" applyBorder="1" applyAlignment="1">
      <alignment/>
    </xf>
    <xf numFmtId="0" fontId="7" fillId="0" borderId="0" xfId="0" applyFont="1" applyFill="1" applyBorder="1" applyAlignment="1">
      <alignment/>
    </xf>
    <xf numFmtId="1" fontId="0" fillId="0" borderId="0" xfId="0" applyNumberFormat="1" applyFill="1" applyBorder="1" applyAlignment="1" applyProtection="1">
      <alignment/>
      <protection/>
    </xf>
    <xf numFmtId="0" fontId="0" fillId="0" borderId="0" xfId="0" applyFill="1" applyBorder="1" applyAlignment="1" applyProtection="1">
      <alignment/>
      <protection/>
    </xf>
    <xf numFmtId="0" fontId="7" fillId="40" borderId="0" xfId="0" applyFont="1" applyFill="1" applyBorder="1" applyAlignment="1">
      <alignment/>
    </xf>
    <xf numFmtId="0" fontId="7" fillId="40" borderId="18" xfId="0" applyFont="1" applyFill="1" applyBorder="1" applyAlignment="1">
      <alignment/>
    </xf>
    <xf numFmtId="1" fontId="0" fillId="40" borderId="17" xfId="0" applyNumberFormat="1" applyFill="1" applyBorder="1" applyAlignment="1">
      <alignment/>
    </xf>
    <xf numFmtId="1" fontId="0" fillId="40" borderId="20" xfId="0" applyNumberFormat="1" applyFill="1" applyBorder="1" applyAlignment="1">
      <alignment/>
    </xf>
    <xf numFmtId="1" fontId="2" fillId="35" borderId="20" xfId="0" applyNumberFormat="1" applyFont="1" applyFill="1" applyBorder="1" applyAlignment="1">
      <alignment/>
    </xf>
    <xf numFmtId="0" fontId="0" fillId="40" borderId="17" xfId="0" applyFill="1" applyBorder="1" applyAlignment="1">
      <alignment/>
    </xf>
    <xf numFmtId="0" fontId="0" fillId="40" borderId="20" xfId="0" applyFill="1" applyBorder="1" applyAlignment="1">
      <alignment/>
    </xf>
    <xf numFmtId="49" fontId="0" fillId="0" borderId="20" xfId="0" applyNumberFormat="1" applyBorder="1" applyAlignment="1" applyProtection="1">
      <alignment/>
      <protection locked="0"/>
    </xf>
    <xf numFmtId="1" fontId="0" fillId="35" borderId="0" xfId="0" applyNumberFormat="1" applyFill="1" applyBorder="1" applyAlignment="1">
      <alignment/>
    </xf>
    <xf numFmtId="49" fontId="0" fillId="40" borderId="0" xfId="0" applyNumberFormat="1" applyFill="1" applyBorder="1" applyAlignment="1">
      <alignment/>
    </xf>
    <xf numFmtId="49" fontId="0" fillId="40" borderId="18" xfId="0" applyNumberFormat="1" applyFill="1" applyBorder="1" applyAlignment="1">
      <alignment/>
    </xf>
    <xf numFmtId="49" fontId="0" fillId="35" borderId="0" xfId="0" applyNumberFormat="1" applyFill="1" applyBorder="1" applyAlignment="1">
      <alignment/>
    </xf>
    <xf numFmtId="49" fontId="0" fillId="0" borderId="0" xfId="0" applyNumberFormat="1" applyBorder="1" applyAlignment="1">
      <alignment/>
    </xf>
    <xf numFmtId="49" fontId="0" fillId="40" borderId="0" xfId="0" applyNumberFormat="1" applyFill="1" applyAlignment="1">
      <alignment/>
    </xf>
    <xf numFmtId="49" fontId="7" fillId="40" borderId="17" xfId="0" applyNumberFormat="1" applyFont="1" applyFill="1" applyBorder="1" applyAlignment="1">
      <alignment/>
    </xf>
    <xf numFmtId="49" fontId="7" fillId="40" borderId="20" xfId="0" applyNumberFormat="1" applyFont="1" applyFill="1" applyBorder="1" applyAlignment="1">
      <alignment/>
    </xf>
    <xf numFmtId="49" fontId="0" fillId="35" borderId="20" xfId="0" applyNumberFormat="1" applyFill="1" applyBorder="1" applyAlignment="1">
      <alignment/>
    </xf>
    <xf numFmtId="49" fontId="0" fillId="0" borderId="22" xfId="0" applyNumberFormat="1" applyBorder="1" applyAlignment="1" applyProtection="1">
      <alignment/>
      <protection locked="0"/>
    </xf>
    <xf numFmtId="49" fontId="0" fillId="0" borderId="0" xfId="0" applyNumberFormat="1" applyAlignment="1">
      <alignment/>
    </xf>
    <xf numFmtId="49" fontId="0" fillId="40" borderId="17" xfId="0" applyNumberFormat="1" applyFill="1" applyBorder="1" applyAlignment="1">
      <alignment/>
    </xf>
    <xf numFmtId="1" fontId="2" fillId="40" borderId="0" xfId="0" applyNumberFormat="1" applyFont="1" applyFill="1" applyBorder="1" applyAlignment="1" applyProtection="1">
      <alignment/>
      <protection/>
    </xf>
    <xf numFmtId="1" fontId="0" fillId="40" borderId="0" xfId="0" applyNumberFormat="1" applyFill="1" applyBorder="1" applyAlignment="1" applyProtection="1">
      <alignment/>
      <protection/>
    </xf>
    <xf numFmtId="0" fontId="0" fillId="40" borderId="0" xfId="0" applyFill="1" applyBorder="1" applyAlignment="1" applyProtection="1">
      <alignment/>
      <protection/>
    </xf>
    <xf numFmtId="1" fontId="0" fillId="0" borderId="20" xfId="0" applyNumberFormat="1" applyBorder="1" applyAlignment="1" applyProtection="1">
      <alignment/>
      <protection locked="0"/>
    </xf>
    <xf numFmtId="1" fontId="0" fillId="40" borderId="21" xfId="0" applyNumberFormat="1" applyFill="1" applyBorder="1" applyAlignment="1" applyProtection="1">
      <alignment/>
      <protection/>
    </xf>
    <xf numFmtId="0" fontId="0" fillId="40" borderId="21" xfId="0" applyFill="1" applyBorder="1" applyAlignment="1" applyProtection="1">
      <alignment/>
      <protection/>
    </xf>
    <xf numFmtId="1" fontId="0" fillId="40" borderId="26" xfId="0" applyNumberFormat="1" applyFill="1" applyBorder="1" applyAlignment="1" applyProtection="1">
      <alignment/>
      <protection/>
    </xf>
    <xf numFmtId="49" fontId="0" fillId="0" borderId="0" xfId="0" applyNumberFormat="1" applyBorder="1" applyAlignment="1" applyProtection="1">
      <alignment/>
      <protection locked="0"/>
    </xf>
    <xf numFmtId="49" fontId="0" fillId="0" borderId="13" xfId="0" applyNumberFormat="1" applyBorder="1" applyAlignment="1" applyProtection="1">
      <alignment/>
      <protection locked="0"/>
    </xf>
    <xf numFmtId="0" fontId="0" fillId="0" borderId="18" xfId="0" applyFill="1" applyBorder="1" applyAlignment="1" applyProtection="1">
      <alignment/>
      <protection locked="0"/>
    </xf>
    <xf numFmtId="0" fontId="6" fillId="40" borderId="0" xfId="0" applyFont="1" applyFill="1" applyAlignment="1" applyProtection="1">
      <alignment/>
      <protection/>
    </xf>
    <xf numFmtId="0" fontId="0" fillId="40" borderId="0" xfId="0" applyFill="1" applyAlignment="1" applyProtection="1">
      <alignment/>
      <protection/>
    </xf>
    <xf numFmtId="0" fontId="7" fillId="35" borderId="0" xfId="0" applyFont="1" applyFill="1" applyAlignment="1" applyProtection="1">
      <alignment/>
      <protection/>
    </xf>
    <xf numFmtId="1" fontId="2" fillId="40" borderId="0" xfId="0" applyNumberFormat="1" applyFont="1" applyFill="1" applyBorder="1" applyAlignment="1" applyProtection="1">
      <alignment/>
      <protection/>
    </xf>
    <xf numFmtId="0" fontId="7" fillId="40" borderId="0" xfId="0" applyFont="1" applyFill="1" applyBorder="1" applyAlignment="1" applyProtection="1">
      <alignment/>
      <protection/>
    </xf>
    <xf numFmtId="0" fontId="0" fillId="35" borderId="0" xfId="0" applyFill="1" applyAlignment="1" applyProtection="1">
      <alignment/>
      <protection/>
    </xf>
    <xf numFmtId="1" fontId="0" fillId="37" borderId="0" xfId="0" applyNumberFormat="1" applyFill="1" applyBorder="1" applyAlignment="1" applyProtection="1">
      <alignment/>
      <protection/>
    </xf>
    <xf numFmtId="0" fontId="2" fillId="35" borderId="0" xfId="0" applyFont="1" applyFill="1" applyAlignment="1" applyProtection="1">
      <alignment/>
      <protection/>
    </xf>
    <xf numFmtId="1" fontId="0" fillId="37" borderId="0" xfId="0" applyNumberFormat="1" applyFill="1" applyBorder="1" applyAlignment="1" applyProtection="1">
      <alignment/>
      <protection hidden="1" locked="0"/>
    </xf>
    <xf numFmtId="0" fontId="16" fillId="0" borderId="0" xfId="0" applyFont="1" applyAlignment="1">
      <alignment/>
    </xf>
    <xf numFmtId="0" fontId="2" fillId="41" borderId="0" xfId="0" applyFont="1" applyFill="1" applyAlignment="1" applyProtection="1">
      <alignment wrapText="1"/>
      <protection locked="0"/>
    </xf>
    <xf numFmtId="0" fontId="0" fillId="41" borderId="0" xfId="0" applyFill="1" applyAlignment="1" applyProtection="1">
      <alignment/>
      <protection locked="0"/>
    </xf>
    <xf numFmtId="0" fontId="0" fillId="41" borderId="0" xfId="0" applyFill="1" applyAlignment="1" applyProtection="1">
      <alignment horizontal="center"/>
      <protection locked="0"/>
    </xf>
    <xf numFmtId="3" fontId="0" fillId="41" borderId="0" xfId="0" applyNumberFormat="1" applyFill="1" applyAlignment="1" applyProtection="1">
      <alignment horizontal="center"/>
      <protection locked="0"/>
    </xf>
    <xf numFmtId="0" fontId="0" fillId="41" borderId="0" xfId="0" applyFill="1" applyAlignment="1" applyProtection="1">
      <alignment wrapText="1"/>
      <protection locked="0"/>
    </xf>
    <xf numFmtId="1" fontId="0" fillId="41" borderId="0" xfId="0" applyNumberFormat="1" applyFill="1" applyAlignment="1" applyProtection="1">
      <alignment horizontal="center"/>
      <protection locked="0"/>
    </xf>
    <xf numFmtId="0" fontId="0" fillId="41" borderId="0" xfId="0" applyFill="1" applyBorder="1" applyAlignment="1" applyProtection="1">
      <alignment wrapText="1"/>
      <protection locked="0"/>
    </xf>
    <xf numFmtId="0" fontId="0" fillId="41" borderId="0" xfId="0" applyFill="1" applyBorder="1" applyAlignment="1" applyProtection="1">
      <alignment horizontal="center"/>
      <protection locked="0"/>
    </xf>
    <xf numFmtId="3" fontId="0" fillId="41" borderId="0" xfId="0" applyNumberFormat="1" applyFill="1" applyBorder="1" applyAlignment="1" applyProtection="1">
      <alignment horizontal="center"/>
      <protection locked="0"/>
    </xf>
    <xf numFmtId="0" fontId="2" fillId="41" borderId="0" xfId="0" applyFont="1" applyFill="1" applyBorder="1" applyAlignment="1" applyProtection="1">
      <alignment wrapText="1"/>
      <protection locked="0"/>
    </xf>
    <xf numFmtId="0" fontId="0" fillId="41" borderId="11" xfId="0" applyFill="1" applyBorder="1" applyAlignment="1" applyProtection="1">
      <alignment wrapText="1"/>
      <protection locked="0"/>
    </xf>
    <xf numFmtId="9" fontId="0" fillId="41" borderId="0" xfId="0" applyNumberFormat="1" applyFill="1" applyBorder="1" applyAlignment="1" applyProtection="1">
      <alignment horizontal="center"/>
      <protection locked="0"/>
    </xf>
    <xf numFmtId="0" fontId="0" fillId="41" borderId="0" xfId="0" applyFill="1" applyBorder="1" applyAlignment="1" applyProtection="1">
      <alignment/>
      <protection locked="0"/>
    </xf>
    <xf numFmtId="0" fontId="2" fillId="41" borderId="0" xfId="0" applyFont="1" applyFill="1" applyAlignment="1" applyProtection="1">
      <alignment/>
      <protection locked="0"/>
    </xf>
    <xf numFmtId="0" fontId="0" fillId="41" borderId="28" xfId="0" applyFill="1" applyBorder="1" applyAlignment="1" applyProtection="1">
      <alignment wrapText="1"/>
      <protection locked="0"/>
    </xf>
    <xf numFmtId="0" fontId="0" fillId="41" borderId="10" xfId="0" applyFill="1" applyBorder="1" applyAlignment="1" applyProtection="1">
      <alignment horizontal="center"/>
      <protection locked="0"/>
    </xf>
    <xf numFmtId="1" fontId="0" fillId="41" borderId="10" xfId="0" applyNumberFormat="1" applyFill="1" applyBorder="1" applyAlignment="1" applyProtection="1">
      <alignment horizontal="center"/>
      <protection locked="0"/>
    </xf>
    <xf numFmtId="0" fontId="0" fillId="41" borderId="10" xfId="0" applyFill="1" applyBorder="1" applyAlignment="1" applyProtection="1">
      <alignment/>
      <protection locked="0"/>
    </xf>
    <xf numFmtId="3" fontId="0" fillId="41" borderId="10" xfId="0" applyNumberFormat="1" applyFill="1" applyBorder="1" applyAlignment="1" applyProtection="1">
      <alignment horizontal="center"/>
      <protection locked="0"/>
    </xf>
    <xf numFmtId="1" fontId="0" fillId="41" borderId="0" xfId="0" applyNumberFormat="1" applyFill="1" applyBorder="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mv.slu.se/MIR\Joharv\WPDOK\2005\slfploj3\maskinkalkyler\kalkylallaredska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duktion"/>
      <sheetName val="Grunddata"/>
      <sheetName val="Traktorkalkyl"/>
      <sheetName val="Redskapskalkyl"/>
      <sheetName val="Traktordata"/>
      <sheetName val="Maskindata"/>
      <sheetName val="Underhållsfaktorer"/>
    </sheetNames>
    <definedNames>
      <definedName name="traktorpris5"/>
      <definedName name="traktorpris6"/>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vmlDrawing" Target="../drawings/vmlDrawing6.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sheetPr codeName="Sheet6"/>
  <dimension ref="A1:A8"/>
  <sheetViews>
    <sheetView zoomScalePageLayoutView="0" workbookViewId="0" topLeftCell="A1">
      <selection activeCell="A2" sqref="A2"/>
    </sheetView>
  </sheetViews>
  <sheetFormatPr defaultColWidth="8.8515625" defaultRowHeight="12.75"/>
  <cols>
    <col min="1" max="1" width="102.8515625" style="0" customWidth="1"/>
  </cols>
  <sheetData>
    <row r="1" ht="18">
      <c r="A1" s="36" t="s">
        <v>171</v>
      </c>
    </row>
    <row r="2" ht="18">
      <c r="A2" s="36"/>
    </row>
    <row r="3" ht="18">
      <c r="A3" s="36" t="s">
        <v>173</v>
      </c>
    </row>
    <row r="4" ht="12.75">
      <c r="A4" s="37" t="s">
        <v>172</v>
      </c>
    </row>
    <row r="5" ht="12.75">
      <c r="A5" s="37" t="s">
        <v>220</v>
      </c>
    </row>
    <row r="7" ht="78" customHeight="1">
      <c r="A7" s="38" t="s">
        <v>174</v>
      </c>
    </row>
    <row r="8" ht="64.5">
      <c r="A8" s="38" t="s">
        <v>189</v>
      </c>
    </row>
  </sheetData>
  <sheetProtection password="CF57" sheet="1" objects="1" scenarios="1"/>
  <printOptions/>
  <pageMargins left="0.75" right="0.75" top="1" bottom="1" header="0.5" footer="0.5"/>
  <pageSetup orientation="portrait" paperSize="3"/>
</worksheet>
</file>

<file path=xl/worksheets/sheet10.xml><?xml version="1.0" encoding="utf-8"?>
<worksheet xmlns="http://schemas.openxmlformats.org/spreadsheetml/2006/main" xmlns:r="http://schemas.openxmlformats.org/officeDocument/2006/relationships">
  <sheetPr codeName="Sheet2"/>
  <dimension ref="A1:V856"/>
  <sheetViews>
    <sheetView zoomScalePageLayoutView="0" workbookViewId="0" topLeftCell="A802">
      <selection activeCell="C840" sqref="C840"/>
    </sheetView>
  </sheetViews>
  <sheetFormatPr defaultColWidth="8.8515625" defaultRowHeight="12.75"/>
  <cols>
    <col min="1" max="1" width="8.8515625" style="0" customWidth="1"/>
    <col min="2" max="2" width="23.421875" style="0" customWidth="1"/>
    <col min="3" max="3" width="13.421875" style="0" customWidth="1"/>
    <col min="4" max="4" width="18.28125" style="0" customWidth="1"/>
    <col min="5" max="5" width="16.421875" style="0" customWidth="1"/>
    <col min="6" max="8" width="8.8515625" style="0" customWidth="1"/>
    <col min="9" max="12" width="17.8515625" style="0" customWidth="1"/>
  </cols>
  <sheetData>
    <row r="1" ht="22.5">
      <c r="B1" s="199" t="s">
        <v>356</v>
      </c>
    </row>
    <row r="2" spans="3:22" ht="12.75">
      <c r="C2" s="2" t="s">
        <v>349</v>
      </c>
      <c r="D2" s="3" t="s">
        <v>348</v>
      </c>
      <c r="E2" s="2"/>
      <c r="F2" s="2" t="s">
        <v>216</v>
      </c>
      <c r="S2" s="14"/>
      <c r="T2" t="s">
        <v>72</v>
      </c>
      <c r="U2" t="s">
        <v>73</v>
      </c>
      <c r="V2" t="s">
        <v>160</v>
      </c>
    </row>
    <row r="3" spans="1:22" ht="10.5" customHeight="1">
      <c r="A3">
        <v>1</v>
      </c>
      <c r="B3" s="2" t="s">
        <v>154</v>
      </c>
      <c r="C3">
        <v>0</v>
      </c>
      <c r="D3">
        <v>0</v>
      </c>
      <c r="F3">
        <v>0</v>
      </c>
      <c r="G3" s="2"/>
      <c r="H3" s="2"/>
      <c r="M3" t="s">
        <v>72</v>
      </c>
      <c r="N3" t="s">
        <v>73</v>
      </c>
      <c r="R3">
        <v>1</v>
      </c>
      <c r="S3" t="s">
        <v>154</v>
      </c>
      <c r="V3">
        <v>50</v>
      </c>
    </row>
    <row r="4" spans="1:22" ht="10.5" customHeight="1" hidden="1">
      <c r="A4">
        <f aca="true" t="shared" si="0" ref="A4:A79">A3+1</f>
        <v>2</v>
      </c>
      <c r="G4" s="4"/>
      <c r="H4" s="4"/>
      <c r="I4" s="4"/>
      <c r="J4" s="4"/>
      <c r="K4" s="4"/>
      <c r="L4" s="4"/>
      <c r="R4">
        <f>R3+1</f>
        <v>2</v>
      </c>
      <c r="S4" s="13" t="s">
        <v>75</v>
      </c>
      <c r="T4">
        <f>42.6+1.93*Grunddata!$B$14</f>
        <v>119.80000000000001</v>
      </c>
      <c r="V4">
        <v>50</v>
      </c>
    </row>
    <row r="5" spans="1:22" ht="10.5" customHeight="1" hidden="1">
      <c r="A5">
        <f t="shared" si="0"/>
        <v>3</v>
      </c>
      <c r="G5" s="5"/>
      <c r="H5" s="4"/>
      <c r="I5" s="4"/>
      <c r="J5" s="4"/>
      <c r="K5" s="4"/>
      <c r="L5" s="4"/>
      <c r="M5">
        <v>50</v>
      </c>
      <c r="N5">
        <f>Redskapskalkyl!$B$15*M5/100</f>
        <v>0.4608</v>
      </c>
      <c r="R5">
        <f aca="true" t="shared" si="1" ref="R5:R18">R4+1</f>
        <v>3</v>
      </c>
      <c r="S5" s="15" t="s">
        <v>74</v>
      </c>
      <c r="T5">
        <f>36+1.63*Grunddata!$B$14</f>
        <v>101.19999999999999</v>
      </c>
      <c r="V5">
        <v>50</v>
      </c>
    </row>
    <row r="6" spans="1:22" ht="10.5" customHeight="1" hidden="1">
      <c r="A6">
        <f t="shared" si="0"/>
        <v>4</v>
      </c>
      <c r="G6" s="5"/>
      <c r="H6" s="4"/>
      <c r="I6" s="4"/>
      <c r="J6" s="4"/>
      <c r="K6" s="4"/>
      <c r="L6" s="4"/>
      <c r="M6">
        <v>50</v>
      </c>
      <c r="N6">
        <f>Redskapskalkyl!$B$15*M6/100</f>
        <v>0.4608</v>
      </c>
      <c r="R6">
        <f t="shared" si="1"/>
        <v>4</v>
      </c>
      <c r="S6" s="15" t="s">
        <v>92</v>
      </c>
      <c r="T6">
        <f>48.3+2.19*Grunddata!$B$14</f>
        <v>135.89999999999998</v>
      </c>
      <c r="V6">
        <v>50</v>
      </c>
    </row>
    <row r="7" spans="1:22" ht="10.5" customHeight="1" hidden="1">
      <c r="A7">
        <f t="shared" si="0"/>
        <v>5</v>
      </c>
      <c r="G7" s="5"/>
      <c r="H7" s="4"/>
      <c r="I7" s="4"/>
      <c r="J7" s="4"/>
      <c r="K7" s="4"/>
      <c r="L7" s="4"/>
      <c r="M7">
        <v>50</v>
      </c>
      <c r="N7">
        <f>Redskapskalkyl!$B$15*M7/100</f>
        <v>0.4608</v>
      </c>
      <c r="R7">
        <f t="shared" si="1"/>
        <v>5</v>
      </c>
      <c r="S7" s="15" t="s">
        <v>121</v>
      </c>
      <c r="T7">
        <f>29.8+1.36*Grunddata!$B$14</f>
        <v>84.2</v>
      </c>
      <c r="V7">
        <v>50</v>
      </c>
    </row>
    <row r="8" spans="1:22" ht="10.5" customHeight="1" hidden="1">
      <c r="A8">
        <f t="shared" si="0"/>
        <v>6</v>
      </c>
      <c r="G8" s="5"/>
      <c r="H8" s="4"/>
      <c r="I8" s="6"/>
      <c r="J8" s="6"/>
      <c r="K8" s="6"/>
      <c r="L8" s="6"/>
      <c r="M8">
        <v>50</v>
      </c>
      <c r="N8">
        <f>Redskapskalkyl!$B$15*M8/100</f>
        <v>0.4608</v>
      </c>
      <c r="R8">
        <f t="shared" si="1"/>
        <v>6</v>
      </c>
      <c r="S8" s="15" t="s">
        <v>155</v>
      </c>
      <c r="T8">
        <f>29.8+1.36*Grunddata!$B$14</f>
        <v>84.2</v>
      </c>
      <c r="V8">
        <v>50</v>
      </c>
    </row>
    <row r="9" spans="1:22" ht="10.5" customHeight="1" hidden="1">
      <c r="A9">
        <f t="shared" si="0"/>
        <v>7</v>
      </c>
      <c r="G9" s="5"/>
      <c r="H9" s="4"/>
      <c r="I9" s="4"/>
      <c r="J9" s="4"/>
      <c r="K9" s="4"/>
      <c r="L9" s="4"/>
      <c r="M9">
        <v>50</v>
      </c>
      <c r="N9">
        <f>Redskapskalkyl!$B$15*M9/100</f>
        <v>0.4608</v>
      </c>
      <c r="R9">
        <f t="shared" si="1"/>
        <v>7</v>
      </c>
      <c r="S9" s="13" t="s">
        <v>25</v>
      </c>
      <c r="U9">
        <v>2.5</v>
      </c>
      <c r="V9">
        <v>100</v>
      </c>
    </row>
    <row r="10" spans="1:22" ht="10.5" customHeight="1" hidden="1">
      <c r="A10">
        <f t="shared" si="0"/>
        <v>8</v>
      </c>
      <c r="G10" s="5"/>
      <c r="H10" s="4"/>
      <c r="I10" s="4"/>
      <c r="J10" s="4"/>
      <c r="K10" s="4"/>
      <c r="L10" s="4"/>
      <c r="M10">
        <v>50</v>
      </c>
      <c r="N10">
        <f>Redskapskalkyl!$B$15*M10/100</f>
        <v>0.4608</v>
      </c>
      <c r="R10">
        <f t="shared" si="1"/>
        <v>8</v>
      </c>
      <c r="S10" s="15" t="s">
        <v>158</v>
      </c>
      <c r="U10">
        <v>3</v>
      </c>
      <c r="V10">
        <v>50</v>
      </c>
    </row>
    <row r="11" spans="1:22" ht="10.5" customHeight="1" hidden="1">
      <c r="A11">
        <f t="shared" si="0"/>
        <v>9</v>
      </c>
      <c r="G11" s="5"/>
      <c r="H11" s="4"/>
      <c r="I11" s="4"/>
      <c r="J11" s="4"/>
      <c r="K11" s="4"/>
      <c r="L11" s="4"/>
      <c r="R11">
        <f t="shared" si="1"/>
        <v>9</v>
      </c>
      <c r="S11" s="15" t="s">
        <v>159</v>
      </c>
      <c r="U11">
        <v>6</v>
      </c>
      <c r="V11">
        <v>50</v>
      </c>
    </row>
    <row r="12" spans="1:22" ht="10.5" customHeight="1" hidden="1">
      <c r="A12">
        <f t="shared" si="0"/>
        <v>10</v>
      </c>
      <c r="G12" s="5"/>
      <c r="H12" s="4"/>
      <c r="I12" s="4"/>
      <c r="J12" s="4"/>
      <c r="K12" s="4"/>
      <c r="L12" s="4"/>
      <c r="R12">
        <f t="shared" si="1"/>
        <v>10</v>
      </c>
      <c r="S12" s="15" t="s">
        <v>30</v>
      </c>
      <c r="U12">
        <v>1</v>
      </c>
      <c r="V12">
        <v>50</v>
      </c>
    </row>
    <row r="13" spans="1:19" ht="10.5" customHeight="1" hidden="1">
      <c r="A13">
        <f t="shared" si="0"/>
        <v>11</v>
      </c>
      <c r="G13" s="5"/>
      <c r="H13" s="4"/>
      <c r="I13" s="4"/>
      <c r="J13" s="4"/>
      <c r="K13" s="4"/>
      <c r="L13" s="4"/>
      <c r="M13">
        <v>50</v>
      </c>
      <c r="N13">
        <f>Redskapskalkyl!$B$15*M13/100</f>
        <v>0.4608</v>
      </c>
      <c r="R13">
        <f t="shared" si="1"/>
        <v>11</v>
      </c>
      <c r="S13" s="15" t="s">
        <v>233</v>
      </c>
    </row>
    <row r="14" spans="1:22" ht="10.5" customHeight="1" hidden="1">
      <c r="A14">
        <f t="shared" si="0"/>
        <v>12</v>
      </c>
      <c r="G14" s="5"/>
      <c r="H14" s="4"/>
      <c r="I14" s="4"/>
      <c r="J14" s="4"/>
      <c r="K14" s="4"/>
      <c r="L14" s="4"/>
      <c r="M14">
        <v>50</v>
      </c>
      <c r="N14">
        <f>Redskapskalkyl!$B$15*M14/100</f>
        <v>0.4608</v>
      </c>
      <c r="R14">
        <f t="shared" si="1"/>
        <v>12</v>
      </c>
      <c r="S14" s="15" t="s">
        <v>93</v>
      </c>
      <c r="U14">
        <v>1</v>
      </c>
      <c r="V14">
        <v>50</v>
      </c>
    </row>
    <row r="15" spans="1:22" ht="10.5" customHeight="1" hidden="1">
      <c r="A15">
        <f t="shared" si="0"/>
        <v>13</v>
      </c>
      <c r="G15" s="5"/>
      <c r="H15" s="4"/>
      <c r="I15" s="4"/>
      <c r="J15" s="4"/>
      <c r="K15" s="4"/>
      <c r="L15" s="4"/>
      <c r="M15">
        <v>50</v>
      </c>
      <c r="N15">
        <f>Redskapskalkyl!$B$15*M15/100</f>
        <v>0.4608</v>
      </c>
      <c r="R15">
        <f t="shared" si="1"/>
        <v>13</v>
      </c>
      <c r="S15" s="15" t="s">
        <v>50</v>
      </c>
      <c r="U15">
        <v>1</v>
      </c>
      <c r="V15">
        <v>50</v>
      </c>
    </row>
    <row r="16" spans="1:22" ht="10.5" customHeight="1" hidden="1">
      <c r="A16">
        <f t="shared" si="0"/>
        <v>14</v>
      </c>
      <c r="G16" s="5"/>
      <c r="H16" s="4"/>
      <c r="I16" s="4"/>
      <c r="J16" s="4"/>
      <c r="K16" s="4"/>
      <c r="L16" s="4"/>
      <c r="M16">
        <v>50</v>
      </c>
      <c r="N16">
        <f>Redskapskalkyl!$B$15*M16/100</f>
        <v>0.4608</v>
      </c>
      <c r="R16">
        <f t="shared" si="1"/>
        <v>14</v>
      </c>
      <c r="S16" s="15" t="s">
        <v>56</v>
      </c>
      <c r="U16">
        <v>2</v>
      </c>
      <c r="V16">
        <v>50</v>
      </c>
    </row>
    <row r="17" spans="1:19" ht="10.5" customHeight="1" hidden="1">
      <c r="A17">
        <f t="shared" si="0"/>
        <v>15</v>
      </c>
      <c r="G17" s="5"/>
      <c r="H17" s="4"/>
      <c r="I17" s="4"/>
      <c r="J17" s="4"/>
      <c r="K17" s="4"/>
      <c r="L17" s="4"/>
      <c r="M17">
        <v>50</v>
      </c>
      <c r="N17">
        <f>Redskapskalkyl!$B$15*M17/100</f>
        <v>0.4608</v>
      </c>
      <c r="R17">
        <f t="shared" si="1"/>
        <v>15</v>
      </c>
      <c r="S17" s="15" t="s">
        <v>59</v>
      </c>
    </row>
    <row r="18" spans="1:18" ht="10.5" customHeight="1" hidden="1">
      <c r="A18">
        <f t="shared" si="0"/>
        <v>16</v>
      </c>
      <c r="G18" s="5"/>
      <c r="H18" s="4"/>
      <c r="I18" s="4"/>
      <c r="J18" s="4"/>
      <c r="K18" s="4"/>
      <c r="L18" s="4"/>
      <c r="R18">
        <f t="shared" si="1"/>
        <v>16</v>
      </c>
    </row>
    <row r="19" spans="1:12" ht="10.5" customHeight="1" hidden="1">
      <c r="A19">
        <f t="shared" si="0"/>
        <v>17</v>
      </c>
      <c r="G19" s="5"/>
      <c r="H19" s="4"/>
      <c r="I19" s="4"/>
      <c r="J19" s="4"/>
      <c r="K19" s="4"/>
      <c r="L19" s="4"/>
    </row>
    <row r="20" spans="1:12" ht="10.5" customHeight="1" hidden="1">
      <c r="A20">
        <f t="shared" si="0"/>
        <v>18</v>
      </c>
      <c r="G20" s="5"/>
      <c r="H20" s="4"/>
      <c r="I20" s="4"/>
      <c r="J20" s="4"/>
      <c r="K20" s="4"/>
      <c r="L20" s="4"/>
    </row>
    <row r="21" spans="1:12" ht="10.5" customHeight="1" hidden="1">
      <c r="A21">
        <f t="shared" si="0"/>
        <v>19</v>
      </c>
      <c r="G21" s="5"/>
      <c r="H21" s="4"/>
      <c r="I21" s="4"/>
      <c r="J21" s="4"/>
      <c r="K21" s="4"/>
      <c r="L21" s="4"/>
    </row>
    <row r="22" spans="1:12" ht="10.5" customHeight="1" hidden="1">
      <c r="A22">
        <f t="shared" si="0"/>
        <v>20</v>
      </c>
      <c r="G22" s="5"/>
      <c r="H22" s="4"/>
      <c r="I22" s="4"/>
      <c r="J22" s="4"/>
      <c r="K22" s="4"/>
      <c r="L22" s="4"/>
    </row>
    <row r="23" spans="1:14" ht="10.5" customHeight="1">
      <c r="A23">
        <f t="shared" si="0"/>
        <v>21</v>
      </c>
      <c r="B23" s="200" t="s">
        <v>75</v>
      </c>
      <c r="C23" s="201"/>
      <c r="D23" s="202"/>
      <c r="E23" s="201"/>
      <c r="F23" s="203"/>
      <c r="G23" s="5"/>
      <c r="H23" s="4"/>
      <c r="I23" s="4"/>
      <c r="J23" s="4"/>
      <c r="K23" s="4"/>
      <c r="L23" s="4"/>
      <c r="M23">
        <v>50</v>
      </c>
      <c r="N23">
        <f>Redskapskalkyl!$B$15*M23/100</f>
        <v>0.4608</v>
      </c>
    </row>
    <row r="24" spans="1:14" ht="10.5" customHeight="1">
      <c r="A24">
        <f t="shared" si="0"/>
        <v>22</v>
      </c>
      <c r="B24" s="204" t="s">
        <v>79</v>
      </c>
      <c r="C24" s="202">
        <v>3.5</v>
      </c>
      <c r="D24" s="205">
        <v>80</v>
      </c>
      <c r="E24" s="202" t="s">
        <v>18</v>
      </c>
      <c r="F24" s="203">
        <v>40000</v>
      </c>
      <c r="G24" s="5"/>
      <c r="H24" s="4"/>
      <c r="I24" s="4"/>
      <c r="J24" s="4"/>
      <c r="K24" s="4"/>
      <c r="L24" s="4"/>
      <c r="M24">
        <v>50</v>
      </c>
      <c r="N24">
        <f>Redskapskalkyl!$B$15*M24/100</f>
        <v>0.4608</v>
      </c>
    </row>
    <row r="25" spans="1:14" ht="10.5" customHeight="1">
      <c r="A25">
        <f t="shared" si="0"/>
        <v>23</v>
      </c>
      <c r="B25" s="204" t="s">
        <v>80</v>
      </c>
      <c r="C25" s="202">
        <v>4</v>
      </c>
      <c r="D25" s="205">
        <v>80</v>
      </c>
      <c r="E25" s="202" t="s">
        <v>18</v>
      </c>
      <c r="F25" s="203">
        <v>60000</v>
      </c>
      <c r="G25" s="5"/>
      <c r="H25" s="4"/>
      <c r="I25" s="4"/>
      <c r="J25" s="4"/>
      <c r="K25" s="4"/>
      <c r="L25" s="4"/>
      <c r="M25">
        <v>50</v>
      </c>
      <c r="N25">
        <f>Redskapskalkyl!$B$15*M25/100</f>
        <v>0.4608</v>
      </c>
    </row>
    <row r="26" spans="1:14" ht="10.5" customHeight="1">
      <c r="A26">
        <f t="shared" si="0"/>
        <v>24</v>
      </c>
      <c r="B26" s="204" t="s">
        <v>81</v>
      </c>
      <c r="C26" s="202">
        <v>4.5</v>
      </c>
      <c r="D26" s="205">
        <v>80</v>
      </c>
      <c r="E26" s="202" t="s">
        <v>18</v>
      </c>
      <c r="F26" s="203">
        <v>70000</v>
      </c>
      <c r="G26" s="5"/>
      <c r="H26" s="4"/>
      <c r="I26" s="4"/>
      <c r="J26" s="4"/>
      <c r="K26" s="4"/>
      <c r="L26" s="4"/>
      <c r="M26">
        <v>50</v>
      </c>
      <c r="N26">
        <f>Redskapskalkyl!$B$15*M26/100</f>
        <v>0.4608</v>
      </c>
    </row>
    <row r="27" spans="1:14" ht="10.5" customHeight="1">
      <c r="A27">
        <f t="shared" si="0"/>
        <v>25</v>
      </c>
      <c r="B27" s="206" t="s">
        <v>82</v>
      </c>
      <c r="C27" s="207">
        <v>5</v>
      </c>
      <c r="D27" s="205">
        <v>80</v>
      </c>
      <c r="E27" s="207" t="s">
        <v>19</v>
      </c>
      <c r="F27" s="208">
        <v>140000</v>
      </c>
      <c r="G27" s="5"/>
      <c r="H27" s="4"/>
      <c r="I27" s="4"/>
      <c r="J27" s="4"/>
      <c r="K27" s="4"/>
      <c r="L27" s="4"/>
      <c r="M27">
        <v>50</v>
      </c>
      <c r="N27">
        <f>Redskapskalkyl!$B$15*M27/100</f>
        <v>0.4608</v>
      </c>
    </row>
    <row r="28" spans="1:14" ht="10.5" customHeight="1">
      <c r="A28">
        <f t="shared" si="0"/>
        <v>26</v>
      </c>
      <c r="B28" s="206" t="s">
        <v>83</v>
      </c>
      <c r="C28" s="207">
        <v>5.5</v>
      </c>
      <c r="D28" s="205">
        <v>80</v>
      </c>
      <c r="E28" s="207" t="s">
        <v>19</v>
      </c>
      <c r="F28" s="203">
        <v>150000</v>
      </c>
      <c r="G28" s="5"/>
      <c r="H28" s="4"/>
      <c r="I28" s="4"/>
      <c r="J28" s="4"/>
      <c r="K28" s="4"/>
      <c r="L28" s="4"/>
      <c r="M28">
        <v>50</v>
      </c>
      <c r="N28">
        <f>Redskapskalkyl!$B$15*M28/100</f>
        <v>0.4608</v>
      </c>
    </row>
    <row r="29" spans="1:14" ht="10.5" customHeight="1">
      <c r="A29">
        <f t="shared" si="0"/>
        <v>27</v>
      </c>
      <c r="B29" s="206" t="s">
        <v>84</v>
      </c>
      <c r="C29" s="207">
        <v>6</v>
      </c>
      <c r="D29" s="205">
        <v>80</v>
      </c>
      <c r="E29" s="207" t="s">
        <v>19</v>
      </c>
      <c r="F29" s="203">
        <v>175000</v>
      </c>
      <c r="G29" s="5"/>
      <c r="H29" s="4"/>
      <c r="I29" s="4"/>
      <c r="J29" s="4"/>
      <c r="K29" s="4"/>
      <c r="L29" s="4"/>
      <c r="M29">
        <v>50</v>
      </c>
      <c r="N29">
        <f>Redskapskalkyl!$B$15*M29/100</f>
        <v>0.4608</v>
      </c>
    </row>
    <row r="30" spans="1:12" ht="10.5" customHeight="1">
      <c r="A30">
        <f t="shared" si="0"/>
        <v>28</v>
      </c>
      <c r="B30" s="206" t="s">
        <v>85</v>
      </c>
      <c r="C30" s="207"/>
      <c r="D30" s="205">
        <v>0</v>
      </c>
      <c r="E30" s="207"/>
      <c r="F30" s="203"/>
      <c r="G30" s="5"/>
      <c r="H30" s="4"/>
      <c r="I30" s="4"/>
      <c r="J30" s="4"/>
      <c r="K30" s="4"/>
      <c r="L30" s="4"/>
    </row>
    <row r="31" spans="1:14" ht="10.5" customHeight="1">
      <c r="A31">
        <f t="shared" si="0"/>
        <v>29</v>
      </c>
      <c r="B31" s="204"/>
      <c r="C31" s="202"/>
      <c r="D31" s="205"/>
      <c r="E31" s="202"/>
      <c r="F31" s="203"/>
      <c r="G31" s="5"/>
      <c r="H31" s="4"/>
      <c r="I31" s="2"/>
      <c r="J31" s="2"/>
      <c r="K31" s="2"/>
      <c r="L31" s="2"/>
      <c r="M31">
        <v>50</v>
      </c>
      <c r="N31">
        <f>Redskapskalkyl!$B$15*M31/100</f>
        <v>0.4608</v>
      </c>
    </row>
    <row r="32" spans="1:14" ht="10.5" customHeight="1">
      <c r="A32">
        <f t="shared" si="0"/>
        <v>30</v>
      </c>
      <c r="B32" s="209"/>
      <c r="C32" s="201"/>
      <c r="D32" s="205"/>
      <c r="E32" s="201"/>
      <c r="F32" s="201"/>
      <c r="G32" s="5"/>
      <c r="H32" s="4"/>
      <c r="I32" s="4"/>
      <c r="J32" s="4"/>
      <c r="K32" s="4"/>
      <c r="L32" s="4"/>
      <c r="M32">
        <v>50</v>
      </c>
      <c r="N32">
        <f>Redskapskalkyl!$B$15*M32/100</f>
        <v>0.4608</v>
      </c>
    </row>
    <row r="33" spans="1:14" ht="10.5" customHeight="1">
      <c r="A33">
        <f t="shared" si="0"/>
        <v>31</v>
      </c>
      <c r="B33" s="204"/>
      <c r="C33" s="202"/>
      <c r="D33" s="205"/>
      <c r="E33" s="202"/>
      <c r="F33" s="203"/>
      <c r="G33" s="5"/>
      <c r="H33" s="4"/>
      <c r="I33" s="4"/>
      <c r="J33" s="4"/>
      <c r="K33" s="4"/>
      <c r="L33" s="4"/>
      <c r="M33">
        <v>50</v>
      </c>
      <c r="N33">
        <f>Redskapskalkyl!$B$15*M33/100</f>
        <v>0.4608</v>
      </c>
    </row>
    <row r="34" spans="1:14" ht="10.5" customHeight="1">
      <c r="A34">
        <f t="shared" si="0"/>
        <v>32</v>
      </c>
      <c r="B34" s="204"/>
      <c r="C34" s="202"/>
      <c r="D34" s="205"/>
      <c r="E34" s="202"/>
      <c r="F34" s="203"/>
      <c r="G34" s="5"/>
      <c r="H34" s="4"/>
      <c r="I34" s="4"/>
      <c r="J34" s="4"/>
      <c r="K34" s="4"/>
      <c r="L34" s="4"/>
      <c r="M34">
        <v>50</v>
      </c>
      <c r="N34">
        <f>Redskapskalkyl!$B$15*M34/100</f>
        <v>0.4608</v>
      </c>
    </row>
    <row r="35" spans="1:14" ht="10.5" customHeight="1">
      <c r="A35">
        <f t="shared" si="0"/>
        <v>33</v>
      </c>
      <c r="B35" s="204"/>
      <c r="C35" s="202"/>
      <c r="D35" s="205"/>
      <c r="E35" s="202"/>
      <c r="F35" s="203"/>
      <c r="G35" s="5"/>
      <c r="H35" s="4"/>
      <c r="I35" s="4"/>
      <c r="J35" s="4"/>
      <c r="K35" s="4"/>
      <c r="L35" s="4"/>
      <c r="M35">
        <v>50</v>
      </c>
      <c r="N35">
        <f>Redskapskalkyl!$B$15*M35/100</f>
        <v>0.4608</v>
      </c>
    </row>
    <row r="36" spans="1:14" ht="10.5" customHeight="1">
      <c r="A36">
        <f t="shared" si="0"/>
        <v>34</v>
      </c>
      <c r="B36" s="204"/>
      <c r="C36" s="202"/>
      <c r="D36" s="205"/>
      <c r="E36" s="202"/>
      <c r="F36" s="203"/>
      <c r="G36" s="5"/>
      <c r="H36" s="4"/>
      <c r="I36" s="4"/>
      <c r="J36" s="4"/>
      <c r="K36" s="4"/>
      <c r="L36" s="4"/>
      <c r="M36">
        <v>50</v>
      </c>
      <c r="N36">
        <f>Redskapskalkyl!$B$15*M36/100</f>
        <v>0.4608</v>
      </c>
    </row>
    <row r="37" spans="1:12" ht="10.5" customHeight="1">
      <c r="A37">
        <f t="shared" si="0"/>
        <v>35</v>
      </c>
      <c r="B37" s="204"/>
      <c r="C37" s="202"/>
      <c r="D37" s="205"/>
      <c r="E37" s="202"/>
      <c r="F37" s="203"/>
      <c r="G37" s="5"/>
      <c r="H37" s="4"/>
      <c r="I37" s="4"/>
      <c r="J37" s="4"/>
      <c r="K37" s="4"/>
      <c r="L37" s="4"/>
    </row>
    <row r="38" spans="1:14" ht="10.5" customHeight="1">
      <c r="A38">
        <f t="shared" si="0"/>
        <v>36</v>
      </c>
      <c r="B38" s="204"/>
      <c r="C38" s="202"/>
      <c r="D38" s="205"/>
      <c r="E38" s="202"/>
      <c r="F38" s="203"/>
      <c r="G38" s="5"/>
      <c r="H38" s="4"/>
      <c r="I38" s="4"/>
      <c r="J38" s="4"/>
      <c r="K38" s="4"/>
      <c r="L38" s="4"/>
      <c r="M38">
        <v>50</v>
      </c>
      <c r="N38">
        <f>Redskapskalkyl!$B$15*M38/100</f>
        <v>0.4608</v>
      </c>
    </row>
    <row r="39" spans="1:14" ht="10.5" customHeight="1">
      <c r="A39">
        <f t="shared" si="0"/>
        <v>37</v>
      </c>
      <c r="B39" s="204"/>
      <c r="C39" s="202"/>
      <c r="D39" s="205"/>
      <c r="E39" s="202"/>
      <c r="F39" s="203"/>
      <c r="G39" s="5"/>
      <c r="H39" s="4"/>
      <c r="I39" s="4"/>
      <c r="J39" s="4"/>
      <c r="K39" s="4"/>
      <c r="L39" s="4"/>
      <c r="M39">
        <v>50</v>
      </c>
      <c r="N39">
        <f>Redskapskalkyl!$B$15*M39/100</f>
        <v>0.4608</v>
      </c>
    </row>
    <row r="40" spans="1:14" ht="10.5" customHeight="1">
      <c r="A40">
        <f t="shared" si="0"/>
        <v>38</v>
      </c>
      <c r="B40" s="204"/>
      <c r="C40" s="202"/>
      <c r="D40" s="205"/>
      <c r="E40" s="202"/>
      <c r="F40" s="203"/>
      <c r="G40" s="5"/>
      <c r="H40" s="4"/>
      <c r="I40" s="4"/>
      <c r="J40" s="4"/>
      <c r="K40" s="4"/>
      <c r="L40" s="4"/>
      <c r="M40">
        <v>50</v>
      </c>
      <c r="N40">
        <f>Redskapskalkyl!$B$15*M40/100</f>
        <v>0.4608</v>
      </c>
    </row>
    <row r="41" spans="1:14" ht="10.5" customHeight="1">
      <c r="A41">
        <f t="shared" si="0"/>
        <v>39</v>
      </c>
      <c r="B41" s="204"/>
      <c r="C41" s="202"/>
      <c r="D41" s="205"/>
      <c r="E41" s="202"/>
      <c r="F41" s="203"/>
      <c r="G41" s="5"/>
      <c r="H41" s="4"/>
      <c r="I41" s="4"/>
      <c r="J41" s="4"/>
      <c r="K41" s="4"/>
      <c r="L41" s="4"/>
      <c r="M41">
        <v>50</v>
      </c>
      <c r="N41">
        <f>Redskapskalkyl!$B$15*M41/100</f>
        <v>0.4608</v>
      </c>
    </row>
    <row r="42" spans="1:14" ht="10.5" customHeight="1">
      <c r="A42">
        <f t="shared" si="0"/>
        <v>40</v>
      </c>
      <c r="B42" s="204"/>
      <c r="C42" s="202"/>
      <c r="D42" s="205"/>
      <c r="E42" s="202"/>
      <c r="F42" s="203"/>
      <c r="G42" s="5"/>
      <c r="H42" s="4"/>
      <c r="I42" s="4"/>
      <c r="J42" s="4"/>
      <c r="K42" s="4"/>
      <c r="L42" s="4"/>
      <c r="M42">
        <v>50</v>
      </c>
      <c r="N42">
        <f>Redskapskalkyl!$B$15*M42/100</f>
        <v>0.4608</v>
      </c>
    </row>
    <row r="43" spans="1:14" ht="10.5" customHeight="1">
      <c r="A43">
        <f t="shared" si="0"/>
        <v>41</v>
      </c>
      <c r="B43" s="209" t="s">
        <v>74</v>
      </c>
      <c r="C43" s="207"/>
      <c r="D43" s="205">
        <v>0</v>
      </c>
      <c r="E43" s="207"/>
      <c r="F43" s="203"/>
      <c r="G43" s="5"/>
      <c r="H43" s="4"/>
      <c r="I43" s="4"/>
      <c r="J43" s="4"/>
      <c r="K43" s="4"/>
      <c r="L43" s="4"/>
      <c r="M43">
        <v>50</v>
      </c>
      <c r="N43">
        <f>Redskapskalkyl!$B$15*M43/100</f>
        <v>0.4608</v>
      </c>
    </row>
    <row r="44" spans="1:12" ht="10.5" customHeight="1">
      <c r="A44">
        <f t="shared" si="0"/>
        <v>42</v>
      </c>
      <c r="B44" s="206" t="s">
        <v>86</v>
      </c>
      <c r="C44" s="207">
        <v>3.2</v>
      </c>
      <c r="D44" s="205">
        <v>80</v>
      </c>
      <c r="E44" s="201"/>
      <c r="F44" s="203">
        <v>40000</v>
      </c>
      <c r="G44" s="5"/>
      <c r="H44" s="4"/>
      <c r="I44" s="4"/>
      <c r="J44" s="4"/>
      <c r="K44" s="4"/>
      <c r="L44" s="4"/>
    </row>
    <row r="45" spans="1:12" ht="10.5" customHeight="1">
      <c r="A45">
        <f t="shared" si="0"/>
        <v>43</v>
      </c>
      <c r="B45" s="206" t="s">
        <v>87</v>
      </c>
      <c r="C45" s="207">
        <v>2.5</v>
      </c>
      <c r="D45" s="205">
        <v>80</v>
      </c>
      <c r="E45" s="201"/>
      <c r="F45" s="203">
        <v>60000</v>
      </c>
      <c r="G45" s="5"/>
      <c r="H45" s="4"/>
      <c r="I45" s="4"/>
      <c r="J45" s="4"/>
      <c r="K45" s="4"/>
      <c r="L45" s="4"/>
    </row>
    <row r="46" spans="1:12" ht="10.5" customHeight="1">
      <c r="A46">
        <f t="shared" si="0"/>
        <v>44</v>
      </c>
      <c r="B46" s="206" t="s">
        <v>88</v>
      </c>
      <c r="C46" s="207">
        <v>3.6</v>
      </c>
      <c r="D46" s="205">
        <v>80</v>
      </c>
      <c r="E46" s="201"/>
      <c r="F46" s="203">
        <v>115000</v>
      </c>
      <c r="G46" s="5"/>
      <c r="H46" s="4"/>
      <c r="I46" s="4"/>
      <c r="J46" s="4"/>
      <c r="K46" s="4"/>
      <c r="L46" s="4"/>
    </row>
    <row r="47" spans="1:12" ht="10.5" customHeight="1">
      <c r="A47">
        <f t="shared" si="0"/>
        <v>45</v>
      </c>
      <c r="B47" s="206" t="s">
        <v>89</v>
      </c>
      <c r="C47" s="207">
        <v>4.2</v>
      </c>
      <c r="D47" s="205">
        <v>80</v>
      </c>
      <c r="E47" s="201"/>
      <c r="F47" s="203">
        <v>130000</v>
      </c>
      <c r="G47" s="5"/>
      <c r="H47" s="4"/>
      <c r="I47" s="4"/>
      <c r="J47" s="4"/>
      <c r="K47" s="4"/>
      <c r="L47" s="4"/>
    </row>
    <row r="48" spans="1:12" ht="10.5" customHeight="1">
      <c r="A48">
        <f t="shared" si="0"/>
        <v>46</v>
      </c>
      <c r="B48" s="206" t="s">
        <v>90</v>
      </c>
      <c r="C48" s="207">
        <v>5.4</v>
      </c>
      <c r="D48" s="205">
        <v>80</v>
      </c>
      <c r="E48" s="201"/>
      <c r="F48" s="203">
        <v>180000</v>
      </c>
      <c r="G48" s="5"/>
      <c r="H48" s="4"/>
      <c r="I48" s="4"/>
      <c r="J48" s="4"/>
      <c r="K48" s="4"/>
      <c r="L48" s="4"/>
    </row>
    <row r="49" spans="1:12" ht="10.5" customHeight="1">
      <c r="A49">
        <f t="shared" si="0"/>
        <v>47</v>
      </c>
      <c r="B49" s="206" t="s">
        <v>91</v>
      </c>
      <c r="C49" s="207"/>
      <c r="D49" s="205">
        <v>0</v>
      </c>
      <c r="E49" s="201"/>
      <c r="F49" s="203"/>
      <c r="G49" s="5"/>
      <c r="H49" s="4"/>
      <c r="I49" s="4"/>
      <c r="J49" s="4"/>
      <c r="K49" s="4"/>
      <c r="L49" s="4"/>
    </row>
    <row r="50" spans="1:12" ht="10.5" customHeight="1">
      <c r="A50">
        <f t="shared" si="0"/>
        <v>48</v>
      </c>
      <c r="B50" s="204"/>
      <c r="C50" s="202"/>
      <c r="D50" s="205"/>
      <c r="E50" s="202"/>
      <c r="F50" s="203"/>
      <c r="G50" s="5"/>
      <c r="H50" s="4"/>
      <c r="I50" s="4"/>
      <c r="J50" s="4"/>
      <c r="K50" s="4"/>
      <c r="L50" s="4"/>
    </row>
    <row r="51" spans="1:12" ht="10.5" customHeight="1">
      <c r="A51">
        <f t="shared" si="0"/>
        <v>49</v>
      </c>
      <c r="B51" s="204"/>
      <c r="C51" s="202"/>
      <c r="D51" s="205"/>
      <c r="E51" s="202"/>
      <c r="F51" s="203"/>
      <c r="G51" s="5"/>
      <c r="H51" s="4"/>
      <c r="I51" s="4"/>
      <c r="J51" s="4"/>
      <c r="K51" s="4"/>
      <c r="L51" s="4"/>
    </row>
    <row r="52" spans="1:12" ht="10.5" customHeight="1">
      <c r="A52">
        <f t="shared" si="0"/>
        <v>50</v>
      </c>
      <c r="B52" s="204"/>
      <c r="C52" s="202"/>
      <c r="D52" s="205"/>
      <c r="E52" s="202"/>
      <c r="F52" s="203"/>
      <c r="G52" s="5"/>
      <c r="H52" s="4"/>
      <c r="I52" s="4"/>
      <c r="J52" s="4"/>
      <c r="K52" s="4"/>
      <c r="L52" s="4"/>
    </row>
    <row r="53" spans="1:12" ht="10.5" customHeight="1">
      <c r="A53">
        <f t="shared" si="0"/>
        <v>51</v>
      </c>
      <c r="B53" s="204"/>
      <c r="C53" s="202"/>
      <c r="D53" s="205"/>
      <c r="E53" s="202"/>
      <c r="F53" s="203"/>
      <c r="G53" s="5"/>
      <c r="H53" s="4"/>
      <c r="I53" s="4"/>
      <c r="J53" s="4"/>
      <c r="K53" s="4"/>
      <c r="L53" s="4"/>
    </row>
    <row r="54" spans="1:14" ht="10.5" customHeight="1">
      <c r="A54">
        <f t="shared" si="0"/>
        <v>52</v>
      </c>
      <c r="B54" s="201"/>
      <c r="C54" s="201"/>
      <c r="D54" s="201"/>
      <c r="E54" s="201"/>
      <c r="F54" s="201"/>
      <c r="G54" s="5"/>
      <c r="H54" s="4"/>
      <c r="I54" s="4"/>
      <c r="J54" s="4"/>
      <c r="K54" s="4"/>
      <c r="L54" s="4"/>
      <c r="N54">
        <v>3</v>
      </c>
    </row>
    <row r="55" spans="1:12" ht="10.5" customHeight="1">
      <c r="A55">
        <f t="shared" si="0"/>
        <v>53</v>
      </c>
      <c r="B55" s="201"/>
      <c r="C55" s="201"/>
      <c r="D55" s="201"/>
      <c r="E55" s="201"/>
      <c r="F55" s="201"/>
      <c r="G55" s="5"/>
      <c r="H55" s="4"/>
      <c r="I55" s="4"/>
      <c r="J55" s="4"/>
      <c r="K55" s="4"/>
      <c r="L55" s="4"/>
    </row>
    <row r="56" spans="1:12" ht="10.5" customHeight="1">
      <c r="A56">
        <f t="shared" si="0"/>
        <v>54</v>
      </c>
      <c r="B56" s="201"/>
      <c r="C56" s="201"/>
      <c r="D56" s="201"/>
      <c r="E56" s="201"/>
      <c r="F56" s="201"/>
      <c r="G56" s="5"/>
      <c r="H56" s="4"/>
      <c r="I56" s="4"/>
      <c r="J56" s="4"/>
      <c r="K56" s="4"/>
      <c r="L56" s="4"/>
    </row>
    <row r="57" spans="1:12" ht="10.5" customHeight="1">
      <c r="A57">
        <f t="shared" si="0"/>
        <v>55</v>
      </c>
      <c r="B57" s="201"/>
      <c r="C57" s="201"/>
      <c r="D57" s="201"/>
      <c r="E57" s="201"/>
      <c r="F57" s="201"/>
      <c r="G57" s="5"/>
      <c r="H57" s="4"/>
      <c r="I57" s="6"/>
      <c r="J57" s="6"/>
      <c r="K57" s="6"/>
      <c r="L57" s="6"/>
    </row>
    <row r="58" spans="1:12" ht="10.5" customHeight="1">
      <c r="A58">
        <f t="shared" si="0"/>
        <v>56</v>
      </c>
      <c r="B58" s="201"/>
      <c r="C58" s="201"/>
      <c r="D58" s="201"/>
      <c r="E58" s="201"/>
      <c r="F58" s="201"/>
      <c r="G58" s="5"/>
      <c r="H58" s="4"/>
      <c r="I58" s="4"/>
      <c r="J58" s="4"/>
      <c r="K58" s="4"/>
      <c r="L58" s="4"/>
    </row>
    <row r="59" spans="1:12" ht="10.5" customHeight="1">
      <c r="A59">
        <f t="shared" si="0"/>
        <v>57</v>
      </c>
      <c r="B59" s="201"/>
      <c r="C59" s="201"/>
      <c r="D59" s="201"/>
      <c r="E59" s="201"/>
      <c r="F59" s="201"/>
      <c r="G59" s="5"/>
      <c r="H59" s="4"/>
      <c r="I59" s="4"/>
      <c r="J59" s="4"/>
      <c r="K59" s="4"/>
      <c r="L59" s="4"/>
    </row>
    <row r="60" spans="1:12" ht="10.5" customHeight="1">
      <c r="A60">
        <f t="shared" si="0"/>
        <v>58</v>
      </c>
      <c r="B60" s="201"/>
      <c r="C60" s="201"/>
      <c r="D60" s="201"/>
      <c r="E60" s="201"/>
      <c r="F60" s="201"/>
      <c r="G60" s="5"/>
      <c r="H60" s="4"/>
      <c r="I60" s="4"/>
      <c r="J60" s="4"/>
      <c r="K60" s="4"/>
      <c r="L60" s="4"/>
    </row>
    <row r="61" spans="1:12" ht="10.5" customHeight="1">
      <c r="A61">
        <f t="shared" si="0"/>
        <v>59</v>
      </c>
      <c r="B61" s="201"/>
      <c r="C61" s="201"/>
      <c r="D61" s="201"/>
      <c r="E61" s="201"/>
      <c r="F61" s="201"/>
      <c r="G61" s="5"/>
      <c r="H61" s="4"/>
      <c r="I61" s="4"/>
      <c r="J61" s="4"/>
      <c r="K61" s="4"/>
      <c r="L61" s="4"/>
    </row>
    <row r="62" spans="1:12" ht="10.5" customHeight="1">
      <c r="A62">
        <f t="shared" si="0"/>
        <v>60</v>
      </c>
      <c r="B62" s="201"/>
      <c r="C62" s="201"/>
      <c r="D62" s="201"/>
      <c r="E62" s="201"/>
      <c r="F62" s="201"/>
      <c r="G62" s="5"/>
      <c r="H62" s="4"/>
      <c r="I62" s="4"/>
      <c r="J62" s="4"/>
      <c r="K62" s="4"/>
      <c r="L62" s="4"/>
    </row>
    <row r="63" spans="1:12" ht="10.5" customHeight="1">
      <c r="A63">
        <f t="shared" si="0"/>
        <v>61</v>
      </c>
      <c r="B63" s="209" t="s">
        <v>92</v>
      </c>
      <c r="C63" s="207"/>
      <c r="D63" s="205">
        <v>0</v>
      </c>
      <c r="E63" s="201"/>
      <c r="F63" s="203"/>
      <c r="G63" s="5"/>
      <c r="H63" s="4"/>
      <c r="I63" s="4"/>
      <c r="J63" s="4"/>
      <c r="K63" s="4"/>
      <c r="L63" s="4"/>
    </row>
    <row r="64" spans="1:12" ht="10.5" customHeight="1">
      <c r="A64">
        <f t="shared" si="0"/>
        <v>62</v>
      </c>
      <c r="B64" s="201" t="s">
        <v>355</v>
      </c>
      <c r="C64" s="201">
        <v>3</v>
      </c>
      <c r="D64" s="201">
        <v>80</v>
      </c>
      <c r="E64" s="201"/>
      <c r="F64" s="201">
        <v>220000</v>
      </c>
      <c r="G64" s="5"/>
      <c r="H64" s="4"/>
      <c r="I64" s="4"/>
      <c r="J64" s="4"/>
      <c r="K64" s="4"/>
      <c r="L64" s="4"/>
    </row>
    <row r="65" spans="1:12" ht="10.5" customHeight="1">
      <c r="A65">
        <f t="shared" si="0"/>
        <v>63</v>
      </c>
      <c r="B65" s="206" t="s">
        <v>37</v>
      </c>
      <c r="C65" s="202">
        <v>5</v>
      </c>
      <c r="D65" s="205">
        <v>80</v>
      </c>
      <c r="E65" s="201"/>
      <c r="F65" s="203">
        <v>220000</v>
      </c>
      <c r="G65" s="5"/>
      <c r="H65" s="4"/>
      <c r="I65" s="4"/>
      <c r="J65" s="4"/>
      <c r="K65" s="4"/>
      <c r="L65" s="4"/>
    </row>
    <row r="66" spans="1:12" ht="10.5" customHeight="1">
      <c r="A66">
        <f t="shared" si="0"/>
        <v>64</v>
      </c>
      <c r="B66" s="206" t="s">
        <v>38</v>
      </c>
      <c r="C66" s="202">
        <v>6.5</v>
      </c>
      <c r="D66" s="205">
        <v>80</v>
      </c>
      <c r="E66" s="201"/>
      <c r="F66" s="203">
        <v>270000</v>
      </c>
      <c r="G66" s="5"/>
      <c r="H66" s="4"/>
      <c r="I66" s="4"/>
      <c r="J66" s="4"/>
      <c r="K66" s="4"/>
      <c r="L66" s="4"/>
    </row>
    <row r="67" spans="1:12" ht="10.5" customHeight="1">
      <c r="A67">
        <f t="shared" si="0"/>
        <v>65</v>
      </c>
      <c r="B67" s="206" t="s">
        <v>91</v>
      </c>
      <c r="C67" s="202"/>
      <c r="D67" s="205">
        <v>0</v>
      </c>
      <c r="E67" s="201"/>
      <c r="F67" s="203"/>
      <c r="G67" s="5"/>
      <c r="H67" s="4"/>
      <c r="I67" s="4"/>
      <c r="J67" s="4"/>
      <c r="K67" s="4"/>
      <c r="L67" s="4"/>
    </row>
    <row r="68" spans="1:12" ht="10.5" customHeight="1">
      <c r="A68">
        <f t="shared" si="0"/>
        <v>66</v>
      </c>
      <c r="B68" s="201"/>
      <c r="C68" s="201"/>
      <c r="D68" s="201"/>
      <c r="E68" s="201"/>
      <c r="F68" s="201"/>
      <c r="G68" s="5"/>
      <c r="H68" s="4"/>
      <c r="I68" s="4"/>
      <c r="J68" s="4"/>
      <c r="K68" s="4"/>
      <c r="L68" s="4"/>
    </row>
    <row r="69" spans="1:12" ht="10.5" customHeight="1">
      <c r="A69">
        <f t="shared" si="0"/>
        <v>67</v>
      </c>
      <c r="B69" s="201"/>
      <c r="C69" s="201"/>
      <c r="D69" s="201"/>
      <c r="E69" s="201"/>
      <c r="F69" s="201"/>
      <c r="G69" s="5"/>
      <c r="H69" s="4"/>
      <c r="I69" s="2"/>
      <c r="J69" s="2"/>
      <c r="K69" s="2"/>
      <c r="L69" s="2"/>
    </row>
    <row r="70" spans="1:12" ht="10.5" customHeight="1">
      <c r="A70">
        <f t="shared" si="0"/>
        <v>68</v>
      </c>
      <c r="B70" s="201"/>
      <c r="C70" s="201"/>
      <c r="D70" s="201"/>
      <c r="E70" s="201"/>
      <c r="F70" s="201"/>
      <c r="G70" s="5"/>
      <c r="H70" s="4"/>
      <c r="I70" s="4"/>
      <c r="J70" s="4"/>
      <c r="K70" s="4"/>
      <c r="L70" s="4"/>
    </row>
    <row r="71" spans="1:12" ht="10.5" customHeight="1">
      <c r="A71">
        <f t="shared" si="0"/>
        <v>69</v>
      </c>
      <c r="B71" s="201"/>
      <c r="C71" s="201"/>
      <c r="D71" s="201"/>
      <c r="E71" s="201"/>
      <c r="F71" s="201"/>
      <c r="G71" s="5"/>
      <c r="H71" s="4"/>
      <c r="I71" s="4"/>
      <c r="J71" s="4"/>
      <c r="K71" s="4"/>
      <c r="L71" s="4"/>
    </row>
    <row r="72" spans="1:12" ht="10.5" customHeight="1">
      <c r="A72">
        <f t="shared" si="0"/>
        <v>70</v>
      </c>
      <c r="B72" s="201"/>
      <c r="C72" s="201"/>
      <c r="D72" s="201"/>
      <c r="E72" s="201"/>
      <c r="F72" s="201"/>
      <c r="G72" s="5"/>
      <c r="H72" s="4"/>
      <c r="I72" s="4"/>
      <c r="J72" s="4"/>
      <c r="K72" s="4"/>
      <c r="L72" s="4"/>
    </row>
    <row r="73" spans="1:12" ht="10.5" customHeight="1">
      <c r="A73">
        <f t="shared" si="0"/>
        <v>71</v>
      </c>
      <c r="B73" s="201"/>
      <c r="C73" s="201"/>
      <c r="D73" s="201"/>
      <c r="E73" s="201"/>
      <c r="F73" s="201"/>
      <c r="G73" s="5"/>
      <c r="H73" s="4"/>
      <c r="I73" s="4"/>
      <c r="J73" s="4"/>
      <c r="K73" s="4"/>
      <c r="L73" s="4"/>
    </row>
    <row r="74" spans="1:12" ht="10.5" customHeight="1">
      <c r="A74">
        <f t="shared" si="0"/>
        <v>72</v>
      </c>
      <c r="B74" s="201"/>
      <c r="C74" s="201"/>
      <c r="D74" s="201"/>
      <c r="E74" s="201"/>
      <c r="F74" s="201"/>
      <c r="G74" s="5"/>
      <c r="H74" s="4"/>
      <c r="I74" s="4"/>
      <c r="J74" s="4"/>
      <c r="K74" s="4"/>
      <c r="L74" s="4"/>
    </row>
    <row r="75" spans="1:12" ht="10.5" customHeight="1">
      <c r="A75">
        <f t="shared" si="0"/>
        <v>73</v>
      </c>
      <c r="B75" s="201"/>
      <c r="C75" s="201"/>
      <c r="D75" s="201"/>
      <c r="E75" s="201"/>
      <c r="F75" s="201"/>
      <c r="G75" s="5"/>
      <c r="H75" s="4"/>
      <c r="I75" s="4"/>
      <c r="J75" s="4"/>
      <c r="K75" s="4"/>
      <c r="L75" s="4"/>
    </row>
    <row r="76" spans="1:12" ht="10.5" customHeight="1">
      <c r="A76">
        <f t="shared" si="0"/>
        <v>74</v>
      </c>
      <c r="B76" s="201"/>
      <c r="C76" s="201"/>
      <c r="D76" s="201"/>
      <c r="E76" s="201"/>
      <c r="F76" s="201"/>
      <c r="G76" s="5"/>
      <c r="H76" s="4"/>
      <c r="I76" s="2"/>
      <c r="J76" s="2"/>
      <c r="K76" s="2"/>
      <c r="L76" s="2"/>
    </row>
    <row r="77" spans="1:12" ht="10.5" customHeight="1">
      <c r="A77">
        <f t="shared" si="0"/>
        <v>75</v>
      </c>
      <c r="B77" s="201"/>
      <c r="C77" s="201"/>
      <c r="D77" s="201"/>
      <c r="E77" s="201"/>
      <c r="F77" s="201"/>
      <c r="G77" s="5"/>
      <c r="H77" s="4"/>
      <c r="I77" s="4"/>
      <c r="J77" s="4"/>
      <c r="K77" s="4"/>
      <c r="L77" s="4"/>
    </row>
    <row r="78" spans="1:12" ht="10.5" customHeight="1">
      <c r="A78">
        <f t="shared" si="0"/>
        <v>76</v>
      </c>
      <c r="B78" s="201"/>
      <c r="C78" s="201"/>
      <c r="D78" s="201"/>
      <c r="E78" s="201"/>
      <c r="F78" s="201"/>
      <c r="G78" s="5"/>
      <c r="H78" s="4"/>
      <c r="I78" s="4"/>
      <c r="J78" s="4"/>
      <c r="K78" s="4"/>
      <c r="L78" s="4"/>
    </row>
    <row r="79" spans="1:12" ht="10.5" customHeight="1">
      <c r="A79">
        <f t="shared" si="0"/>
        <v>77</v>
      </c>
      <c r="B79" s="201"/>
      <c r="C79" s="201"/>
      <c r="D79" s="201"/>
      <c r="E79" s="201"/>
      <c r="F79" s="201"/>
      <c r="G79" s="5"/>
      <c r="H79" s="4"/>
      <c r="I79" s="4"/>
      <c r="J79" s="4"/>
      <c r="K79" s="4"/>
      <c r="L79" s="4"/>
    </row>
    <row r="80" spans="1:12" ht="10.5" customHeight="1">
      <c r="A80">
        <f aca="true" t="shared" si="2" ref="A80:A143">A79+1</f>
        <v>78</v>
      </c>
      <c r="B80" s="201"/>
      <c r="C80" s="201"/>
      <c r="D80" s="201"/>
      <c r="E80" s="201"/>
      <c r="F80" s="201"/>
      <c r="G80" s="5"/>
      <c r="H80" s="4"/>
      <c r="I80" s="4"/>
      <c r="J80" s="4"/>
      <c r="K80" s="4"/>
      <c r="L80" s="4"/>
    </row>
    <row r="81" spans="1:12" ht="10.5" customHeight="1">
      <c r="A81">
        <f t="shared" si="2"/>
        <v>79</v>
      </c>
      <c r="B81" s="201"/>
      <c r="C81" s="201"/>
      <c r="D81" s="201"/>
      <c r="E81" s="201"/>
      <c r="F81" s="201"/>
      <c r="G81" s="5"/>
      <c r="H81" s="4"/>
      <c r="I81" s="4"/>
      <c r="J81" s="4"/>
      <c r="K81" s="4"/>
      <c r="L81" s="4"/>
    </row>
    <row r="82" spans="1:12" ht="10.5" customHeight="1">
      <c r="A82">
        <f t="shared" si="2"/>
        <v>80</v>
      </c>
      <c r="B82" s="201"/>
      <c r="C82" s="201"/>
      <c r="D82" s="201"/>
      <c r="E82" s="201"/>
      <c r="F82" s="201"/>
      <c r="G82" s="5"/>
      <c r="H82" s="4"/>
      <c r="I82" s="4"/>
      <c r="J82" s="4"/>
      <c r="K82" s="4"/>
      <c r="L82" s="4"/>
    </row>
    <row r="83" spans="1:12" ht="10.5" customHeight="1">
      <c r="A83">
        <f t="shared" si="2"/>
        <v>81</v>
      </c>
      <c r="B83" s="209" t="s">
        <v>20</v>
      </c>
      <c r="C83" s="207"/>
      <c r="D83" s="205">
        <v>0</v>
      </c>
      <c r="E83" s="201"/>
      <c r="F83" s="203"/>
      <c r="G83" s="5"/>
      <c r="H83" s="4"/>
      <c r="I83" s="4"/>
      <c r="J83" s="4"/>
      <c r="K83" s="4"/>
      <c r="L83" s="4"/>
    </row>
    <row r="84" spans="1:12" ht="10.5" customHeight="1">
      <c r="A84">
        <f t="shared" si="2"/>
        <v>82</v>
      </c>
      <c r="B84" s="204" t="s">
        <v>94</v>
      </c>
      <c r="C84" s="207">
        <v>1.2</v>
      </c>
      <c r="D84" s="205">
        <v>80</v>
      </c>
      <c r="E84" s="202" t="s">
        <v>18</v>
      </c>
      <c r="F84" s="203">
        <v>90000</v>
      </c>
      <c r="G84" s="5"/>
      <c r="H84" s="4"/>
      <c r="I84" s="4"/>
      <c r="J84" s="4"/>
      <c r="K84" s="4"/>
      <c r="L84" s="4"/>
    </row>
    <row r="85" spans="1:12" ht="10.5" customHeight="1">
      <c r="A85">
        <f t="shared" si="2"/>
        <v>83</v>
      </c>
      <c r="B85" s="204" t="s">
        <v>95</v>
      </c>
      <c r="C85" s="207">
        <v>1.6</v>
      </c>
      <c r="D85" s="205">
        <v>80</v>
      </c>
      <c r="E85" s="202" t="s">
        <v>18</v>
      </c>
      <c r="F85" s="203">
        <v>110000</v>
      </c>
      <c r="G85" s="5"/>
      <c r="H85" s="4"/>
      <c r="I85" s="4"/>
      <c r="J85" s="4"/>
      <c r="K85" s="4"/>
      <c r="L85" s="4"/>
    </row>
    <row r="86" spans="1:12" ht="10.5" customHeight="1">
      <c r="A86">
        <f t="shared" si="2"/>
        <v>84</v>
      </c>
      <c r="B86" s="204" t="s">
        <v>96</v>
      </c>
      <c r="C86" s="202">
        <v>2</v>
      </c>
      <c r="D86" s="205">
        <v>80</v>
      </c>
      <c r="E86" s="202" t="s">
        <v>18</v>
      </c>
      <c r="F86" s="203">
        <v>145000</v>
      </c>
      <c r="G86" s="5"/>
      <c r="H86" s="4"/>
      <c r="I86" s="4"/>
      <c r="J86" s="4"/>
      <c r="K86" s="4"/>
      <c r="L86" s="4"/>
    </row>
    <row r="87" spans="1:12" ht="10.5" customHeight="1">
      <c r="A87">
        <f t="shared" si="2"/>
        <v>85</v>
      </c>
      <c r="B87" s="204" t="s">
        <v>97</v>
      </c>
      <c r="C87" s="202">
        <v>1.2</v>
      </c>
      <c r="D87" s="205">
        <v>80</v>
      </c>
      <c r="E87" s="202" t="s">
        <v>18</v>
      </c>
      <c r="F87" s="203">
        <v>105000</v>
      </c>
      <c r="G87" s="5"/>
      <c r="H87" s="4"/>
      <c r="I87" s="4"/>
      <c r="J87" s="4"/>
      <c r="K87" s="4"/>
      <c r="L87" s="4"/>
    </row>
    <row r="88" spans="1:12" ht="10.5" customHeight="1">
      <c r="A88">
        <f t="shared" si="2"/>
        <v>86</v>
      </c>
      <c r="B88" s="204" t="s">
        <v>98</v>
      </c>
      <c r="C88" s="202">
        <v>1.6</v>
      </c>
      <c r="D88" s="205">
        <v>80</v>
      </c>
      <c r="E88" s="202" t="s">
        <v>18</v>
      </c>
      <c r="F88" s="203">
        <v>140000</v>
      </c>
      <c r="G88" s="5"/>
      <c r="H88" s="4"/>
      <c r="I88" s="4"/>
      <c r="J88" s="4"/>
      <c r="K88" s="4"/>
      <c r="L88" s="4"/>
    </row>
    <row r="89" spans="1:12" ht="10.5" customHeight="1">
      <c r="A89">
        <f t="shared" si="2"/>
        <v>87</v>
      </c>
      <c r="B89" s="204" t="s">
        <v>99</v>
      </c>
      <c r="C89" s="202">
        <v>2</v>
      </c>
      <c r="D89" s="205">
        <v>80</v>
      </c>
      <c r="E89" s="202" t="s">
        <v>18</v>
      </c>
      <c r="F89" s="203">
        <v>170000</v>
      </c>
      <c r="G89" s="5"/>
      <c r="H89" s="4"/>
      <c r="I89" s="4"/>
      <c r="J89" s="4"/>
      <c r="K89" s="4"/>
      <c r="L89" s="4"/>
    </row>
    <row r="90" spans="1:12" ht="10.5" customHeight="1">
      <c r="A90">
        <f t="shared" si="2"/>
        <v>88</v>
      </c>
      <c r="B90" s="204" t="s">
        <v>85</v>
      </c>
      <c r="C90" s="202"/>
      <c r="D90" s="205">
        <v>0</v>
      </c>
      <c r="E90" s="202"/>
      <c r="F90" s="203"/>
      <c r="G90" s="5"/>
      <c r="H90" s="4"/>
      <c r="I90" s="4"/>
      <c r="J90" s="4"/>
      <c r="K90" s="4"/>
      <c r="L90" s="4"/>
    </row>
    <row r="91" spans="1:12" ht="10.5" customHeight="1">
      <c r="A91">
        <f t="shared" si="2"/>
        <v>89</v>
      </c>
      <c r="B91" s="209" t="s">
        <v>21</v>
      </c>
      <c r="C91" s="201"/>
      <c r="D91" s="205">
        <v>0</v>
      </c>
      <c r="E91" s="201"/>
      <c r="F91" s="201"/>
      <c r="G91" s="5"/>
      <c r="H91" s="4"/>
      <c r="I91" s="4"/>
      <c r="J91" s="4"/>
      <c r="K91" s="4"/>
      <c r="L91" s="4"/>
    </row>
    <row r="92" spans="1:12" ht="10.5" customHeight="1">
      <c r="A92">
        <f t="shared" si="2"/>
        <v>90</v>
      </c>
      <c r="B92" s="204" t="s">
        <v>100</v>
      </c>
      <c r="C92" s="202">
        <v>1.6</v>
      </c>
      <c r="D92" s="205">
        <v>80</v>
      </c>
      <c r="E92" s="202" t="s">
        <v>22</v>
      </c>
      <c r="F92" s="203">
        <v>165000</v>
      </c>
      <c r="G92" s="5"/>
      <c r="H92" s="4"/>
      <c r="I92" s="4"/>
      <c r="J92" s="4"/>
      <c r="K92" s="4"/>
      <c r="L92" s="4"/>
    </row>
    <row r="93" spans="1:12" ht="10.5" customHeight="1">
      <c r="A93">
        <f t="shared" si="2"/>
        <v>91</v>
      </c>
      <c r="B93" s="204" t="s">
        <v>101</v>
      </c>
      <c r="C93" s="202">
        <v>2</v>
      </c>
      <c r="D93" s="205">
        <v>80</v>
      </c>
      <c r="E93" s="202" t="s">
        <v>22</v>
      </c>
      <c r="F93" s="203">
        <v>190000</v>
      </c>
      <c r="G93" s="5"/>
      <c r="H93" s="4"/>
      <c r="I93" s="4"/>
      <c r="J93" s="4"/>
      <c r="K93" s="4"/>
      <c r="L93" s="4"/>
    </row>
    <row r="94" spans="1:12" ht="10.5" customHeight="1">
      <c r="A94">
        <f t="shared" si="2"/>
        <v>92</v>
      </c>
      <c r="B94" s="204" t="s">
        <v>102</v>
      </c>
      <c r="C94" s="202">
        <v>2.4</v>
      </c>
      <c r="D94" s="205">
        <v>80</v>
      </c>
      <c r="E94" s="202" t="s">
        <v>22</v>
      </c>
      <c r="F94" s="203">
        <v>210000</v>
      </c>
      <c r="G94" s="5"/>
      <c r="H94" s="4"/>
      <c r="I94" s="4"/>
      <c r="J94" s="4"/>
      <c r="K94" s="4"/>
      <c r="L94" s="4"/>
    </row>
    <row r="95" spans="1:12" ht="10.5" customHeight="1">
      <c r="A95">
        <f t="shared" si="2"/>
        <v>93</v>
      </c>
      <c r="B95" s="204" t="s">
        <v>103</v>
      </c>
      <c r="C95" s="202">
        <v>2.8</v>
      </c>
      <c r="D95" s="205">
        <v>80</v>
      </c>
      <c r="E95" s="202" t="s">
        <v>22</v>
      </c>
      <c r="F95" s="203">
        <v>260000</v>
      </c>
      <c r="G95" s="5"/>
      <c r="H95" s="4"/>
      <c r="I95" s="4"/>
      <c r="J95" s="4"/>
      <c r="K95" s="4"/>
      <c r="L95" s="4"/>
    </row>
    <row r="96" spans="1:12" ht="10.5" customHeight="1">
      <c r="A96">
        <f t="shared" si="2"/>
        <v>94</v>
      </c>
      <c r="B96" s="204" t="s">
        <v>104</v>
      </c>
      <c r="C96" s="202">
        <v>3.2</v>
      </c>
      <c r="D96" s="205">
        <v>80</v>
      </c>
      <c r="E96" s="202" t="s">
        <v>22</v>
      </c>
      <c r="F96" s="203">
        <v>290000</v>
      </c>
      <c r="G96" s="5"/>
      <c r="H96" s="4"/>
      <c r="I96" s="2"/>
      <c r="J96" s="2"/>
      <c r="K96" s="2"/>
      <c r="L96" s="2"/>
    </row>
    <row r="97" spans="1:12" ht="10.5" customHeight="1">
      <c r="A97">
        <f t="shared" si="2"/>
        <v>95</v>
      </c>
      <c r="B97" s="204" t="s">
        <v>105</v>
      </c>
      <c r="C97" s="202">
        <v>2.4</v>
      </c>
      <c r="D97" s="205">
        <v>80</v>
      </c>
      <c r="E97" s="202" t="s">
        <v>23</v>
      </c>
      <c r="F97" s="203">
        <v>240000</v>
      </c>
      <c r="G97" s="5"/>
      <c r="H97" s="4"/>
      <c r="I97" s="4"/>
      <c r="J97" s="4"/>
      <c r="K97" s="4"/>
      <c r="L97" s="4"/>
    </row>
    <row r="98" spans="1:12" ht="10.5" customHeight="1">
      <c r="A98">
        <f t="shared" si="2"/>
        <v>96</v>
      </c>
      <c r="B98" s="204" t="s">
        <v>106</v>
      </c>
      <c r="C98" s="202">
        <v>2.8</v>
      </c>
      <c r="D98" s="205">
        <v>80</v>
      </c>
      <c r="E98" s="202" t="s">
        <v>23</v>
      </c>
      <c r="F98" s="203">
        <v>280000</v>
      </c>
      <c r="G98" s="5"/>
      <c r="H98" s="4"/>
      <c r="I98" s="4"/>
      <c r="J98" s="4"/>
      <c r="K98" s="4"/>
      <c r="L98" s="4"/>
    </row>
    <row r="99" spans="1:12" ht="10.5" customHeight="1">
      <c r="A99">
        <f t="shared" si="2"/>
        <v>97</v>
      </c>
      <c r="B99" s="204" t="s">
        <v>107</v>
      </c>
      <c r="C99" s="202">
        <v>3.2</v>
      </c>
      <c r="D99" s="205">
        <v>80</v>
      </c>
      <c r="E99" s="202" t="s">
        <v>23</v>
      </c>
      <c r="F99" s="203">
        <v>330000</v>
      </c>
      <c r="G99" s="5"/>
      <c r="H99" s="4"/>
      <c r="I99" s="4"/>
      <c r="J99" s="4"/>
      <c r="K99" s="4"/>
      <c r="L99" s="4"/>
    </row>
    <row r="100" spans="1:12" ht="10.5" customHeight="1">
      <c r="A100">
        <f t="shared" si="2"/>
        <v>98</v>
      </c>
      <c r="B100" s="204" t="s">
        <v>108</v>
      </c>
      <c r="C100" s="202">
        <v>3.6</v>
      </c>
      <c r="D100" s="205">
        <v>80</v>
      </c>
      <c r="E100" s="202" t="s">
        <v>23</v>
      </c>
      <c r="F100" s="203">
        <v>355000</v>
      </c>
      <c r="G100" s="5"/>
      <c r="H100" s="4"/>
      <c r="I100" s="4"/>
      <c r="J100" s="4"/>
      <c r="K100" s="4"/>
      <c r="L100" s="4"/>
    </row>
    <row r="101" spans="1:12" ht="10.5" customHeight="1">
      <c r="A101">
        <f t="shared" si="2"/>
        <v>99</v>
      </c>
      <c r="B101" s="204" t="s">
        <v>109</v>
      </c>
      <c r="C101" s="202">
        <v>4</v>
      </c>
      <c r="D101" s="205">
        <v>80</v>
      </c>
      <c r="E101" s="202" t="s">
        <v>23</v>
      </c>
      <c r="F101" s="203">
        <v>380000</v>
      </c>
      <c r="G101" s="5"/>
      <c r="H101" s="4"/>
      <c r="I101" s="4"/>
      <c r="J101" s="4"/>
      <c r="K101" s="4"/>
      <c r="L101" s="4"/>
    </row>
    <row r="102" spans="1:12" ht="10.5" customHeight="1">
      <c r="A102">
        <f t="shared" si="2"/>
        <v>100</v>
      </c>
      <c r="B102" s="204" t="s">
        <v>85</v>
      </c>
      <c r="C102" s="202"/>
      <c r="D102" s="205">
        <v>0</v>
      </c>
      <c r="E102" s="202"/>
      <c r="F102" s="203"/>
      <c r="G102" s="5"/>
      <c r="H102" s="4"/>
      <c r="I102" s="2"/>
      <c r="J102" s="2"/>
      <c r="K102" s="2"/>
      <c r="L102" s="2"/>
    </row>
    <row r="103" spans="1:12" ht="10.5" customHeight="1">
      <c r="A103">
        <f t="shared" si="2"/>
        <v>101</v>
      </c>
      <c r="B103" s="200" t="s">
        <v>155</v>
      </c>
      <c r="C103" s="202"/>
      <c r="D103" s="205"/>
      <c r="E103" s="202"/>
      <c r="F103" s="203"/>
      <c r="G103" s="5"/>
      <c r="H103" s="4"/>
      <c r="I103" s="4"/>
      <c r="J103" s="4"/>
      <c r="K103" s="4"/>
      <c r="L103" s="4"/>
    </row>
    <row r="104" spans="1:12" ht="10.5" customHeight="1">
      <c r="A104">
        <f t="shared" si="2"/>
        <v>102</v>
      </c>
      <c r="B104" s="204" t="s">
        <v>85</v>
      </c>
      <c r="C104" s="202"/>
      <c r="D104" s="205"/>
      <c r="E104" s="202"/>
      <c r="F104" s="203"/>
      <c r="G104" s="5"/>
      <c r="H104" s="4"/>
      <c r="I104" s="4"/>
      <c r="J104" s="4"/>
      <c r="K104" s="4"/>
      <c r="L104" s="4"/>
    </row>
    <row r="105" spans="1:12" ht="10.5" customHeight="1">
      <c r="A105">
        <f t="shared" si="2"/>
        <v>103</v>
      </c>
      <c r="B105" s="201"/>
      <c r="C105" s="201"/>
      <c r="D105" s="201"/>
      <c r="E105" s="201"/>
      <c r="F105" s="201"/>
      <c r="G105" s="5"/>
      <c r="H105" s="4"/>
      <c r="I105" s="4"/>
      <c r="J105" s="4"/>
      <c r="K105" s="4"/>
      <c r="L105" s="4"/>
    </row>
    <row r="106" spans="1:12" ht="10.5" customHeight="1">
      <c r="A106">
        <f t="shared" si="2"/>
        <v>104</v>
      </c>
      <c r="B106" s="201"/>
      <c r="C106" s="201"/>
      <c r="D106" s="201"/>
      <c r="E106" s="201"/>
      <c r="F106" s="201"/>
      <c r="G106" s="5"/>
      <c r="H106" s="4"/>
      <c r="I106" s="4"/>
      <c r="J106" s="4"/>
      <c r="K106" s="4"/>
      <c r="L106" s="4"/>
    </row>
    <row r="107" spans="1:12" ht="10.5" customHeight="1">
      <c r="A107">
        <f t="shared" si="2"/>
        <v>105</v>
      </c>
      <c r="B107" s="201"/>
      <c r="C107" s="201"/>
      <c r="D107" s="201"/>
      <c r="E107" s="201"/>
      <c r="F107" s="201"/>
      <c r="G107" s="5"/>
      <c r="H107" s="4"/>
      <c r="I107" s="4"/>
      <c r="J107" s="4"/>
      <c r="K107" s="4"/>
      <c r="L107" s="4"/>
    </row>
    <row r="108" spans="1:12" ht="10.5" customHeight="1">
      <c r="A108">
        <f t="shared" si="2"/>
        <v>106</v>
      </c>
      <c r="B108" s="201"/>
      <c r="C108" s="201"/>
      <c r="D108" s="201"/>
      <c r="E108" s="201"/>
      <c r="F108" s="201"/>
      <c r="G108" s="5"/>
      <c r="H108" s="4"/>
      <c r="I108" s="2"/>
      <c r="J108" s="2"/>
      <c r="K108" s="2"/>
      <c r="L108" s="2"/>
    </row>
    <row r="109" spans="1:12" ht="10.5" customHeight="1">
      <c r="A109">
        <f t="shared" si="2"/>
        <v>107</v>
      </c>
      <c r="B109" s="209"/>
      <c r="C109" s="201"/>
      <c r="D109" s="205"/>
      <c r="E109" s="201"/>
      <c r="F109" s="201"/>
      <c r="G109" s="5"/>
      <c r="H109" s="4"/>
      <c r="I109" s="4"/>
      <c r="J109" s="4"/>
      <c r="K109" s="4"/>
      <c r="L109" s="4"/>
    </row>
    <row r="110" spans="1:12" ht="10.5" customHeight="1">
      <c r="A110">
        <f t="shared" si="2"/>
        <v>108</v>
      </c>
      <c r="B110" s="206"/>
      <c r="C110" s="202"/>
      <c r="D110" s="205"/>
      <c r="E110" s="201"/>
      <c r="F110" s="203"/>
      <c r="G110" s="5"/>
      <c r="H110" s="4"/>
      <c r="I110" s="4"/>
      <c r="J110" s="4"/>
      <c r="K110" s="4"/>
      <c r="L110" s="4"/>
    </row>
    <row r="111" spans="1:12" ht="10.5" customHeight="1">
      <c r="A111">
        <f t="shared" si="2"/>
        <v>109</v>
      </c>
      <c r="B111" s="206"/>
      <c r="C111" s="202"/>
      <c r="D111" s="205"/>
      <c r="E111" s="201"/>
      <c r="F111" s="203"/>
      <c r="G111" s="5"/>
      <c r="H111" s="4"/>
      <c r="I111" s="4"/>
      <c r="J111" s="4"/>
      <c r="K111" s="4"/>
      <c r="L111" s="4"/>
    </row>
    <row r="112" spans="1:12" ht="10.5" customHeight="1" thickBot="1">
      <c r="A112">
        <f t="shared" si="2"/>
        <v>110</v>
      </c>
      <c r="B112" s="206"/>
      <c r="C112" s="202"/>
      <c r="D112" s="205"/>
      <c r="E112" s="201"/>
      <c r="F112" s="203"/>
      <c r="G112" s="5"/>
      <c r="H112" s="4"/>
      <c r="I112" s="2"/>
      <c r="J112" s="2"/>
      <c r="K112" s="2"/>
      <c r="L112" s="2"/>
    </row>
    <row r="113" spans="1:12" ht="10.5" customHeight="1">
      <c r="A113">
        <f t="shared" si="2"/>
        <v>111</v>
      </c>
      <c r="B113" s="201"/>
      <c r="C113" s="201"/>
      <c r="D113" s="201"/>
      <c r="E113" s="201"/>
      <c r="F113" s="201"/>
      <c r="G113" s="7"/>
      <c r="H113" s="4"/>
      <c r="I113" s="10"/>
      <c r="J113" s="10"/>
      <c r="K113" s="10"/>
      <c r="L113" s="10"/>
    </row>
    <row r="114" spans="1:12" ht="10.5" customHeight="1">
      <c r="A114">
        <f t="shared" si="2"/>
        <v>112</v>
      </c>
      <c r="B114" s="201"/>
      <c r="C114" s="201"/>
      <c r="D114" s="201"/>
      <c r="E114" s="201"/>
      <c r="F114" s="201"/>
      <c r="G114" s="8"/>
      <c r="H114" s="4"/>
      <c r="I114" s="10"/>
      <c r="J114" s="10"/>
      <c r="K114" s="10"/>
      <c r="L114" s="10"/>
    </row>
    <row r="115" spans="1:12" ht="10.5" customHeight="1">
      <c r="A115">
        <f t="shared" si="2"/>
        <v>113</v>
      </c>
      <c r="B115" s="201"/>
      <c r="C115" s="201"/>
      <c r="D115" s="201"/>
      <c r="E115" s="201"/>
      <c r="F115" s="201"/>
      <c r="G115" s="8"/>
      <c r="H115" s="4"/>
      <c r="I115" s="10"/>
      <c r="J115" s="10"/>
      <c r="K115" s="10"/>
      <c r="L115" s="10"/>
    </row>
    <row r="116" spans="1:12" ht="10.5" customHeight="1">
      <c r="A116">
        <f t="shared" si="2"/>
        <v>114</v>
      </c>
      <c r="B116" s="201"/>
      <c r="C116" s="201"/>
      <c r="D116" s="201"/>
      <c r="E116" s="201"/>
      <c r="F116" s="201"/>
      <c r="G116" s="8"/>
      <c r="H116" s="4"/>
      <c r="I116" s="10"/>
      <c r="J116" s="10"/>
      <c r="K116" s="10"/>
      <c r="L116" s="10"/>
    </row>
    <row r="117" spans="1:12" ht="10.5" customHeight="1">
      <c r="A117">
        <f t="shared" si="2"/>
        <v>115</v>
      </c>
      <c r="B117" s="201"/>
      <c r="C117" s="201"/>
      <c r="D117" s="201"/>
      <c r="E117" s="201"/>
      <c r="F117" s="201"/>
      <c r="G117" s="8"/>
      <c r="H117" s="4"/>
      <c r="I117" s="10"/>
      <c r="J117" s="10"/>
      <c r="K117" s="10"/>
      <c r="L117" s="10"/>
    </row>
    <row r="118" spans="1:12" ht="10.5" customHeight="1">
      <c r="A118">
        <f t="shared" si="2"/>
        <v>116</v>
      </c>
      <c r="B118" s="201"/>
      <c r="C118" s="201"/>
      <c r="D118" s="201"/>
      <c r="E118" s="201"/>
      <c r="F118" s="201"/>
      <c r="G118" s="8"/>
      <c r="H118" s="4"/>
      <c r="I118" s="10"/>
      <c r="J118" s="10"/>
      <c r="K118" s="10"/>
      <c r="L118" s="10"/>
    </row>
    <row r="119" spans="1:12" ht="10.5" customHeight="1">
      <c r="A119">
        <f t="shared" si="2"/>
        <v>117</v>
      </c>
      <c r="B119" s="201"/>
      <c r="C119" s="201"/>
      <c r="D119" s="201"/>
      <c r="E119" s="201"/>
      <c r="F119" s="201"/>
      <c r="G119" s="8"/>
      <c r="H119" s="4"/>
      <c r="I119" s="10"/>
      <c r="J119" s="10"/>
      <c r="K119" s="10"/>
      <c r="L119" s="10"/>
    </row>
    <row r="120" spans="1:12" ht="10.5" customHeight="1">
      <c r="A120">
        <f t="shared" si="2"/>
        <v>118</v>
      </c>
      <c r="B120" s="201"/>
      <c r="C120" s="201"/>
      <c r="D120" s="201"/>
      <c r="E120" s="201"/>
      <c r="F120" s="201"/>
      <c r="G120" s="8"/>
      <c r="H120" s="4"/>
      <c r="I120" s="10"/>
      <c r="J120" s="10"/>
      <c r="K120" s="10"/>
      <c r="L120" s="10"/>
    </row>
    <row r="121" spans="1:12" ht="10.5" customHeight="1">
      <c r="A121">
        <f t="shared" si="2"/>
        <v>119</v>
      </c>
      <c r="B121" s="201"/>
      <c r="C121" s="201"/>
      <c r="D121" s="201"/>
      <c r="E121" s="201"/>
      <c r="F121" s="201"/>
      <c r="G121" s="10"/>
      <c r="H121" s="4"/>
      <c r="I121" s="10"/>
      <c r="J121" s="10"/>
      <c r="K121" s="10"/>
      <c r="L121" s="10"/>
    </row>
    <row r="122" spans="1:12" ht="10.5" customHeight="1">
      <c r="A122">
        <f t="shared" si="2"/>
        <v>120</v>
      </c>
      <c r="B122" s="210"/>
      <c r="C122" s="207"/>
      <c r="D122" s="211"/>
      <c r="E122" s="212"/>
      <c r="F122" s="208"/>
      <c r="G122" s="10"/>
      <c r="H122" s="4"/>
      <c r="I122" s="10"/>
      <c r="J122" s="10"/>
      <c r="K122" s="10"/>
      <c r="L122" s="10"/>
    </row>
    <row r="123" spans="1:12" ht="10.5" customHeight="1">
      <c r="A123">
        <f t="shared" si="2"/>
        <v>121</v>
      </c>
      <c r="B123" s="200" t="s">
        <v>25</v>
      </c>
      <c r="C123" s="202"/>
      <c r="D123" s="205">
        <v>0</v>
      </c>
      <c r="E123" s="201"/>
      <c r="F123" s="203"/>
      <c r="G123" s="10"/>
      <c r="H123" s="4"/>
      <c r="I123" s="10"/>
      <c r="J123" s="10"/>
      <c r="K123" s="10"/>
      <c r="L123" s="10"/>
    </row>
    <row r="124" spans="1:12" ht="10.5" customHeight="1">
      <c r="A124">
        <f t="shared" si="2"/>
        <v>122</v>
      </c>
      <c r="B124" s="204" t="s">
        <v>110</v>
      </c>
      <c r="C124" s="202">
        <v>3</v>
      </c>
      <c r="D124" s="205">
        <v>80</v>
      </c>
      <c r="E124" s="202" t="s">
        <v>18</v>
      </c>
      <c r="F124" s="203">
        <v>50000</v>
      </c>
      <c r="G124" s="10"/>
      <c r="H124" s="4"/>
      <c r="I124" s="10"/>
      <c r="J124" s="10"/>
      <c r="K124" s="10"/>
      <c r="L124" s="10"/>
    </row>
    <row r="125" spans="1:12" ht="10.5" customHeight="1">
      <c r="A125">
        <f t="shared" si="2"/>
        <v>123</v>
      </c>
      <c r="B125" s="204" t="s">
        <v>111</v>
      </c>
      <c r="C125" s="202">
        <v>5</v>
      </c>
      <c r="D125" s="205">
        <v>80</v>
      </c>
      <c r="E125" s="202" t="s">
        <v>18</v>
      </c>
      <c r="F125" s="203">
        <v>60000</v>
      </c>
      <c r="G125" s="10"/>
      <c r="H125" s="4"/>
      <c r="I125" s="10"/>
      <c r="J125" s="10"/>
      <c r="K125" s="10"/>
      <c r="L125" s="10"/>
    </row>
    <row r="126" spans="1:12" ht="10.5" customHeight="1">
      <c r="A126">
        <f t="shared" si="2"/>
        <v>124</v>
      </c>
      <c r="B126" s="204" t="s">
        <v>84</v>
      </c>
      <c r="C126" s="202">
        <v>6</v>
      </c>
      <c r="D126" s="205">
        <v>80</v>
      </c>
      <c r="E126" s="202" t="s">
        <v>24</v>
      </c>
      <c r="F126" s="203">
        <v>120000</v>
      </c>
      <c r="G126" s="10"/>
      <c r="H126" s="10"/>
      <c r="I126" s="10"/>
      <c r="J126" s="10"/>
      <c r="K126" s="10"/>
      <c r="L126" s="10"/>
    </row>
    <row r="127" spans="1:12" ht="10.5" customHeight="1">
      <c r="A127">
        <f t="shared" si="2"/>
        <v>125</v>
      </c>
      <c r="B127" s="206" t="s">
        <v>112</v>
      </c>
      <c r="C127" s="207">
        <v>7</v>
      </c>
      <c r="D127" s="205">
        <v>80</v>
      </c>
      <c r="E127" s="202" t="s">
        <v>24</v>
      </c>
      <c r="F127" s="208">
        <v>140000</v>
      </c>
      <c r="G127" s="10"/>
      <c r="H127" s="10"/>
      <c r="I127" s="10"/>
      <c r="J127" s="10"/>
      <c r="K127" s="10"/>
      <c r="L127" s="10"/>
    </row>
    <row r="128" spans="1:12" ht="10.5" customHeight="1">
      <c r="A128">
        <f t="shared" si="2"/>
        <v>126</v>
      </c>
      <c r="B128" s="206" t="s">
        <v>113</v>
      </c>
      <c r="C128" s="202">
        <v>8</v>
      </c>
      <c r="D128" s="205">
        <v>80</v>
      </c>
      <c r="E128" s="202" t="s">
        <v>24</v>
      </c>
      <c r="F128" s="203">
        <v>160000</v>
      </c>
      <c r="G128" s="10"/>
      <c r="H128" s="10"/>
      <c r="I128" s="10"/>
      <c r="J128" s="10"/>
      <c r="K128" s="10"/>
      <c r="L128" s="10"/>
    </row>
    <row r="129" spans="1:12" ht="10.5" customHeight="1">
      <c r="A129">
        <f t="shared" si="2"/>
        <v>127</v>
      </c>
      <c r="B129" s="206" t="s">
        <v>114</v>
      </c>
      <c r="C129" s="202">
        <v>9</v>
      </c>
      <c r="D129" s="205">
        <v>80</v>
      </c>
      <c r="E129" s="202" t="s">
        <v>24</v>
      </c>
      <c r="F129" s="203">
        <v>180000</v>
      </c>
      <c r="G129" s="12"/>
      <c r="H129" s="12"/>
      <c r="I129" s="12"/>
      <c r="J129" s="12"/>
      <c r="K129" s="12"/>
      <c r="L129" s="12"/>
    </row>
    <row r="130" spans="1:12" ht="10.5" customHeight="1">
      <c r="A130">
        <f t="shared" si="2"/>
        <v>128</v>
      </c>
      <c r="B130" s="206" t="s">
        <v>115</v>
      </c>
      <c r="C130" s="202">
        <v>10</v>
      </c>
      <c r="D130" s="205">
        <v>80</v>
      </c>
      <c r="E130" s="202" t="s">
        <v>24</v>
      </c>
      <c r="F130" s="203">
        <v>200000</v>
      </c>
      <c r="G130" s="12"/>
      <c r="H130" s="12"/>
      <c r="I130" s="12"/>
      <c r="J130" s="12"/>
      <c r="K130" s="12"/>
      <c r="L130" s="12"/>
    </row>
    <row r="131" spans="1:6" ht="12.75">
      <c r="A131">
        <f t="shared" si="2"/>
        <v>129</v>
      </c>
      <c r="B131" s="206" t="s">
        <v>85</v>
      </c>
      <c r="C131" s="202"/>
      <c r="D131" s="205">
        <v>0</v>
      </c>
      <c r="E131" s="202"/>
      <c r="F131" s="203"/>
    </row>
    <row r="132" spans="1:6" ht="12.75">
      <c r="A132">
        <f t="shared" si="2"/>
        <v>130</v>
      </c>
      <c r="B132" s="201"/>
      <c r="C132" s="201"/>
      <c r="D132" s="201"/>
      <c r="E132" s="201"/>
      <c r="F132" s="201"/>
    </row>
    <row r="133" spans="1:6" ht="12.75">
      <c r="A133">
        <f t="shared" si="2"/>
        <v>131</v>
      </c>
      <c r="B133" s="201"/>
      <c r="C133" s="201"/>
      <c r="D133" s="201"/>
      <c r="E133" s="201"/>
      <c r="F133" s="201"/>
    </row>
    <row r="134" spans="1:6" ht="12.75">
      <c r="A134">
        <f t="shared" si="2"/>
        <v>132</v>
      </c>
      <c r="B134" s="201"/>
      <c r="C134" s="201"/>
      <c r="D134" s="201"/>
      <c r="E134" s="201"/>
      <c r="F134" s="201"/>
    </row>
    <row r="135" spans="1:6" ht="12.75">
      <c r="A135">
        <f t="shared" si="2"/>
        <v>133</v>
      </c>
      <c r="B135" s="201"/>
      <c r="C135" s="201"/>
      <c r="D135" s="201"/>
      <c r="E135" s="201"/>
      <c r="F135" s="201"/>
    </row>
    <row r="136" spans="1:6" ht="12.75">
      <c r="A136">
        <f t="shared" si="2"/>
        <v>134</v>
      </c>
      <c r="B136" s="201"/>
      <c r="C136" s="201"/>
      <c r="D136" s="201"/>
      <c r="E136" s="201"/>
      <c r="F136" s="201"/>
    </row>
    <row r="137" spans="1:6" ht="12.75">
      <c r="A137">
        <f t="shared" si="2"/>
        <v>135</v>
      </c>
      <c r="B137" s="201"/>
      <c r="C137" s="201"/>
      <c r="D137" s="201"/>
      <c r="E137" s="201"/>
      <c r="F137" s="201"/>
    </row>
    <row r="138" spans="1:6" ht="12.75">
      <c r="A138">
        <f t="shared" si="2"/>
        <v>136</v>
      </c>
      <c r="B138" s="201"/>
      <c r="C138" s="201"/>
      <c r="D138" s="201"/>
      <c r="E138" s="201"/>
      <c r="F138" s="201"/>
    </row>
    <row r="139" spans="1:6" ht="12.75">
      <c r="A139">
        <f t="shared" si="2"/>
        <v>137</v>
      </c>
      <c r="B139" s="201"/>
      <c r="C139" s="201"/>
      <c r="D139" s="201"/>
      <c r="E139" s="201"/>
      <c r="F139" s="201"/>
    </row>
    <row r="140" spans="1:6" ht="12.75">
      <c r="A140">
        <f t="shared" si="2"/>
        <v>138</v>
      </c>
      <c r="B140" s="201"/>
      <c r="C140" s="201"/>
      <c r="D140" s="201"/>
      <c r="E140" s="201"/>
      <c r="F140" s="201"/>
    </row>
    <row r="141" spans="1:6" ht="12.75">
      <c r="A141">
        <f t="shared" si="2"/>
        <v>139</v>
      </c>
      <c r="B141" s="201"/>
      <c r="C141" s="201"/>
      <c r="D141" s="201"/>
      <c r="E141" s="201"/>
      <c r="F141" s="201"/>
    </row>
    <row r="142" spans="1:6" ht="12.75">
      <c r="A142">
        <f t="shared" si="2"/>
        <v>140</v>
      </c>
      <c r="B142" s="201"/>
      <c r="C142" s="201"/>
      <c r="D142" s="201"/>
      <c r="E142" s="201"/>
      <c r="F142" s="201"/>
    </row>
    <row r="143" spans="1:6" ht="12.75">
      <c r="A143">
        <f t="shared" si="2"/>
        <v>141</v>
      </c>
      <c r="B143" s="213" t="s">
        <v>354</v>
      </c>
      <c r="C143" s="201"/>
      <c r="D143" s="201"/>
      <c r="E143" s="201"/>
      <c r="F143" s="201"/>
    </row>
    <row r="144" spans="1:6" ht="12.75">
      <c r="A144">
        <f aca="true" t="shared" si="3" ref="A144:A207">A143+1</f>
        <v>142</v>
      </c>
      <c r="B144" s="209" t="s">
        <v>352</v>
      </c>
      <c r="C144" s="202"/>
      <c r="D144" s="205">
        <v>0</v>
      </c>
      <c r="E144" s="201"/>
      <c r="F144" s="203"/>
    </row>
    <row r="145" spans="1:6" ht="12.75">
      <c r="A145">
        <f t="shared" si="3"/>
        <v>143</v>
      </c>
      <c r="B145" s="206" t="s">
        <v>110</v>
      </c>
      <c r="C145" s="202">
        <v>3</v>
      </c>
      <c r="D145" s="205">
        <v>65</v>
      </c>
      <c r="E145" s="201"/>
      <c r="F145" s="203">
        <v>60000</v>
      </c>
    </row>
    <row r="146" spans="1:6" ht="12.75">
      <c r="A146">
        <f t="shared" si="3"/>
        <v>144</v>
      </c>
      <c r="B146" s="206" t="s">
        <v>80</v>
      </c>
      <c r="C146" s="202">
        <v>4</v>
      </c>
      <c r="D146" s="205">
        <v>65</v>
      </c>
      <c r="E146" s="201"/>
      <c r="F146" s="203">
        <v>75000</v>
      </c>
    </row>
    <row r="147" spans="1:6" ht="12.75">
      <c r="A147">
        <f t="shared" si="3"/>
        <v>145</v>
      </c>
      <c r="B147" s="206" t="s">
        <v>26</v>
      </c>
      <c r="C147" s="202">
        <v>4</v>
      </c>
      <c r="D147" s="205">
        <v>65</v>
      </c>
      <c r="E147" s="201"/>
      <c r="F147" s="203">
        <v>100000</v>
      </c>
    </row>
    <row r="148" spans="1:6" ht="12.75">
      <c r="A148">
        <f t="shared" si="3"/>
        <v>146</v>
      </c>
      <c r="B148" s="206" t="s">
        <v>27</v>
      </c>
      <c r="C148" s="202">
        <v>6</v>
      </c>
      <c r="D148" s="205">
        <v>65</v>
      </c>
      <c r="E148" s="201"/>
      <c r="F148" s="203">
        <v>225000</v>
      </c>
    </row>
    <row r="149" spans="1:6" ht="12.75">
      <c r="A149">
        <f t="shared" si="3"/>
        <v>147</v>
      </c>
      <c r="B149" s="206" t="s">
        <v>85</v>
      </c>
      <c r="C149" s="202"/>
      <c r="D149" s="205">
        <v>0</v>
      </c>
      <c r="E149" s="201"/>
      <c r="F149" s="203"/>
    </row>
    <row r="150" spans="1:6" ht="12.75">
      <c r="A150">
        <f t="shared" si="3"/>
        <v>148</v>
      </c>
      <c r="B150" s="209" t="s">
        <v>28</v>
      </c>
      <c r="C150" s="201"/>
      <c r="D150" s="205">
        <v>0</v>
      </c>
      <c r="E150" s="201"/>
      <c r="F150" s="201"/>
    </row>
    <row r="151" spans="1:6" ht="12.75">
      <c r="A151">
        <f t="shared" si="3"/>
        <v>149</v>
      </c>
      <c r="B151" s="206" t="s">
        <v>117</v>
      </c>
      <c r="C151" s="202">
        <v>3</v>
      </c>
      <c r="D151" s="205">
        <v>65</v>
      </c>
      <c r="E151" s="202" t="s">
        <v>29</v>
      </c>
      <c r="F151" s="203">
        <v>140000</v>
      </c>
    </row>
    <row r="152" spans="1:6" ht="12.75">
      <c r="A152">
        <f t="shared" si="3"/>
        <v>150</v>
      </c>
      <c r="B152" s="206" t="s">
        <v>118</v>
      </c>
      <c r="C152" s="202">
        <v>4</v>
      </c>
      <c r="D152" s="205">
        <v>65</v>
      </c>
      <c r="E152" s="202" t="s">
        <v>29</v>
      </c>
      <c r="F152" s="203">
        <v>185000</v>
      </c>
    </row>
    <row r="153" spans="1:6" ht="12.75">
      <c r="A153">
        <f t="shared" si="3"/>
        <v>151</v>
      </c>
      <c r="B153" s="206" t="s">
        <v>27</v>
      </c>
      <c r="C153" s="202">
        <v>6</v>
      </c>
      <c r="D153" s="205">
        <v>65</v>
      </c>
      <c r="E153" s="202" t="s">
        <v>29</v>
      </c>
      <c r="F153" s="203">
        <v>400000</v>
      </c>
    </row>
    <row r="154" spans="1:6" ht="12.75">
      <c r="A154">
        <f t="shared" si="3"/>
        <v>152</v>
      </c>
      <c r="B154" s="206" t="s">
        <v>85</v>
      </c>
      <c r="C154" s="202"/>
      <c r="D154" s="205">
        <v>0</v>
      </c>
      <c r="E154" s="201"/>
      <c r="F154" s="201"/>
    </row>
    <row r="155" spans="1:6" ht="12.75">
      <c r="A155">
        <f t="shared" si="3"/>
        <v>153</v>
      </c>
      <c r="B155" s="206"/>
      <c r="C155" s="202"/>
      <c r="D155" s="205"/>
      <c r="E155" s="202"/>
      <c r="F155" s="203"/>
    </row>
    <row r="156" spans="1:6" ht="12.75">
      <c r="A156">
        <f t="shared" si="3"/>
        <v>154</v>
      </c>
      <c r="B156" s="206"/>
      <c r="C156" s="202"/>
      <c r="D156" s="205"/>
      <c r="E156" s="202"/>
      <c r="F156" s="203"/>
    </row>
    <row r="157" spans="1:6" ht="12.75">
      <c r="A157">
        <f t="shared" si="3"/>
        <v>155</v>
      </c>
      <c r="B157" s="201"/>
      <c r="C157" s="201"/>
      <c r="D157" s="201"/>
      <c r="E157" s="202"/>
      <c r="F157" s="203"/>
    </row>
    <row r="158" spans="1:6" ht="12.75">
      <c r="A158">
        <f t="shared" si="3"/>
        <v>156</v>
      </c>
      <c r="B158" s="201"/>
      <c r="C158" s="201"/>
      <c r="D158" s="201"/>
      <c r="E158" s="201"/>
      <c r="F158" s="201"/>
    </row>
    <row r="159" spans="1:6" ht="12.75">
      <c r="A159">
        <f t="shared" si="3"/>
        <v>157</v>
      </c>
      <c r="B159" s="201"/>
      <c r="C159" s="201"/>
      <c r="D159" s="201"/>
      <c r="E159" s="201"/>
      <c r="F159" s="201"/>
    </row>
    <row r="160" spans="1:6" ht="12.75">
      <c r="A160">
        <f t="shared" si="3"/>
        <v>158</v>
      </c>
      <c r="B160" s="201"/>
      <c r="C160" s="201"/>
      <c r="D160" s="201"/>
      <c r="E160" s="201"/>
      <c r="F160" s="201"/>
    </row>
    <row r="161" spans="1:6" ht="12.75">
      <c r="A161">
        <f t="shared" si="3"/>
        <v>159</v>
      </c>
      <c r="B161" s="201"/>
      <c r="C161" s="201"/>
      <c r="D161" s="201"/>
      <c r="E161" s="201"/>
      <c r="F161" s="201"/>
    </row>
    <row r="162" spans="1:6" ht="12.75">
      <c r="A162">
        <f t="shared" si="3"/>
        <v>160</v>
      </c>
      <c r="B162" s="201"/>
      <c r="C162" s="201"/>
      <c r="D162" s="201"/>
      <c r="E162" s="201"/>
      <c r="F162" s="201"/>
    </row>
    <row r="163" spans="1:6" ht="12.75">
      <c r="A163">
        <f t="shared" si="3"/>
        <v>161</v>
      </c>
      <c r="B163" s="213" t="s">
        <v>159</v>
      </c>
      <c r="C163" s="201"/>
      <c r="D163" s="201"/>
      <c r="E163" s="201"/>
      <c r="F163" s="201"/>
    </row>
    <row r="164" spans="1:6" ht="12.75">
      <c r="A164">
        <f t="shared" si="3"/>
        <v>162</v>
      </c>
      <c r="B164" s="209" t="s">
        <v>352</v>
      </c>
      <c r="C164" s="202"/>
      <c r="D164" s="205">
        <v>0</v>
      </c>
      <c r="E164" s="201"/>
      <c r="F164" s="203"/>
    </row>
    <row r="165" spans="1:6" ht="12.75">
      <c r="A165">
        <f t="shared" si="3"/>
        <v>163</v>
      </c>
      <c r="B165" s="206" t="s">
        <v>116</v>
      </c>
      <c r="C165" s="202">
        <v>6</v>
      </c>
      <c r="D165" s="205">
        <v>65</v>
      </c>
      <c r="E165" s="201"/>
      <c r="F165" s="203">
        <v>400000</v>
      </c>
    </row>
    <row r="166" spans="1:6" ht="12.75">
      <c r="A166">
        <f t="shared" si="3"/>
        <v>164</v>
      </c>
      <c r="B166" s="206" t="s">
        <v>85</v>
      </c>
      <c r="C166" s="202"/>
      <c r="D166" s="205">
        <v>0</v>
      </c>
      <c r="E166" s="201"/>
      <c r="F166" s="203"/>
    </row>
    <row r="167" spans="1:6" ht="12.75">
      <c r="A167">
        <f t="shared" si="3"/>
        <v>165</v>
      </c>
      <c r="B167" s="209" t="s">
        <v>28</v>
      </c>
      <c r="C167" s="201"/>
      <c r="D167" s="205">
        <v>0</v>
      </c>
      <c r="E167" s="201"/>
      <c r="F167" s="201"/>
    </row>
    <row r="168" spans="1:6" ht="12.75">
      <c r="A168">
        <f t="shared" si="3"/>
        <v>166</v>
      </c>
      <c r="B168" s="206" t="s">
        <v>119</v>
      </c>
      <c r="C168" s="202">
        <v>3</v>
      </c>
      <c r="D168" s="205">
        <v>65</v>
      </c>
      <c r="E168" s="202" t="s">
        <v>29</v>
      </c>
      <c r="F168" s="203">
        <v>250000</v>
      </c>
    </row>
    <row r="169" spans="1:6" ht="12.75">
      <c r="A169">
        <f t="shared" si="3"/>
        <v>167</v>
      </c>
      <c r="B169" s="206" t="s">
        <v>120</v>
      </c>
      <c r="C169" s="202">
        <v>4</v>
      </c>
      <c r="D169" s="205">
        <v>65</v>
      </c>
      <c r="E169" s="202" t="s">
        <v>29</v>
      </c>
      <c r="F169" s="203">
        <v>300000</v>
      </c>
    </row>
    <row r="170" spans="1:6" ht="12.75">
      <c r="A170">
        <f t="shared" si="3"/>
        <v>168</v>
      </c>
      <c r="B170" s="206" t="s">
        <v>85</v>
      </c>
      <c r="C170" s="202"/>
      <c r="D170" s="205">
        <v>0</v>
      </c>
      <c r="E170" s="202"/>
      <c r="F170" s="203"/>
    </row>
    <row r="171" spans="1:6" ht="12.75">
      <c r="A171">
        <f t="shared" si="3"/>
        <v>169</v>
      </c>
      <c r="B171" s="201"/>
      <c r="C171" s="201"/>
      <c r="D171" s="201"/>
      <c r="E171" s="201"/>
      <c r="F171" s="201"/>
    </row>
    <row r="172" spans="1:6" ht="12.75">
      <c r="A172">
        <f t="shared" si="3"/>
        <v>170</v>
      </c>
      <c r="B172" s="201"/>
      <c r="C172" s="201"/>
      <c r="D172" s="201"/>
      <c r="E172" s="201"/>
      <c r="F172" s="201"/>
    </row>
    <row r="173" spans="1:6" ht="12.75">
      <c r="A173">
        <f t="shared" si="3"/>
        <v>171</v>
      </c>
      <c r="B173" s="201"/>
      <c r="C173" s="201"/>
      <c r="D173" s="201"/>
      <c r="E173" s="201"/>
      <c r="F173" s="201"/>
    </row>
    <row r="174" spans="1:6" ht="12.75">
      <c r="A174">
        <f t="shared" si="3"/>
        <v>172</v>
      </c>
      <c r="B174" s="201"/>
      <c r="C174" s="201"/>
      <c r="D174" s="201"/>
      <c r="E174" s="201"/>
      <c r="F174" s="201"/>
    </row>
    <row r="175" spans="1:6" ht="12.75">
      <c r="A175">
        <f t="shared" si="3"/>
        <v>173</v>
      </c>
      <c r="B175" s="201"/>
      <c r="C175" s="201"/>
      <c r="D175" s="201"/>
      <c r="E175" s="201"/>
      <c r="F175" s="201"/>
    </row>
    <row r="176" spans="1:6" ht="12.75">
      <c r="A176">
        <f t="shared" si="3"/>
        <v>174</v>
      </c>
      <c r="B176" s="201"/>
      <c r="C176" s="201"/>
      <c r="D176" s="201"/>
      <c r="E176" s="201"/>
      <c r="F176" s="201"/>
    </row>
    <row r="177" spans="1:6" ht="12.75">
      <c r="A177">
        <f t="shared" si="3"/>
        <v>175</v>
      </c>
      <c r="B177" s="201"/>
      <c r="C177" s="201"/>
      <c r="D177" s="201"/>
      <c r="E177" s="201"/>
      <c r="F177" s="201"/>
    </row>
    <row r="178" spans="1:6" ht="12.75">
      <c r="A178">
        <f t="shared" si="3"/>
        <v>176</v>
      </c>
      <c r="B178" s="201"/>
      <c r="C178" s="201"/>
      <c r="D178" s="201"/>
      <c r="E178" s="201"/>
      <c r="F178" s="201"/>
    </row>
    <row r="179" spans="1:6" ht="12.75">
      <c r="A179">
        <f t="shared" si="3"/>
        <v>177</v>
      </c>
      <c r="B179" s="201"/>
      <c r="C179" s="201"/>
      <c r="D179" s="201"/>
      <c r="E179" s="201"/>
      <c r="F179" s="201"/>
    </row>
    <row r="180" spans="1:6" ht="12.75">
      <c r="A180">
        <f t="shared" si="3"/>
        <v>178</v>
      </c>
      <c r="B180" s="201"/>
      <c r="C180" s="201"/>
      <c r="D180" s="201"/>
      <c r="E180" s="201"/>
      <c r="F180" s="201"/>
    </row>
    <row r="181" spans="1:6" ht="12.75">
      <c r="A181">
        <f t="shared" si="3"/>
        <v>179</v>
      </c>
      <c r="B181" s="201"/>
      <c r="C181" s="201"/>
      <c r="D181" s="201"/>
      <c r="E181" s="201"/>
      <c r="F181" s="201"/>
    </row>
    <row r="182" spans="1:6" ht="12.75">
      <c r="A182">
        <f t="shared" si="3"/>
        <v>180</v>
      </c>
      <c r="B182" s="201"/>
      <c r="C182" s="201"/>
      <c r="D182" s="201"/>
      <c r="E182" s="201"/>
      <c r="F182" s="201"/>
    </row>
    <row r="183" spans="1:6" ht="12.75">
      <c r="A183">
        <f t="shared" si="3"/>
        <v>181</v>
      </c>
      <c r="B183" s="209" t="s">
        <v>30</v>
      </c>
      <c r="C183" s="201"/>
      <c r="D183" s="205">
        <v>0</v>
      </c>
      <c r="E183" s="201"/>
      <c r="F183" s="201"/>
    </row>
    <row r="184" spans="1:6" ht="12.75">
      <c r="A184">
        <f t="shared" si="3"/>
        <v>182</v>
      </c>
      <c r="B184" s="206" t="s">
        <v>31</v>
      </c>
      <c r="C184" s="202">
        <v>6</v>
      </c>
      <c r="D184" s="205">
        <v>80</v>
      </c>
      <c r="E184" s="201"/>
      <c r="F184" s="203">
        <v>65000</v>
      </c>
    </row>
    <row r="185" spans="1:6" ht="12.75">
      <c r="A185">
        <f t="shared" si="3"/>
        <v>183</v>
      </c>
      <c r="B185" s="206" t="s">
        <v>32</v>
      </c>
      <c r="C185" s="202">
        <v>9</v>
      </c>
      <c r="D185" s="205">
        <v>80</v>
      </c>
      <c r="E185" s="201"/>
      <c r="F185" s="203">
        <v>100000</v>
      </c>
    </row>
    <row r="186" spans="1:6" ht="12.75">
      <c r="A186">
        <f t="shared" si="3"/>
        <v>184</v>
      </c>
      <c r="B186" s="206" t="s">
        <v>33</v>
      </c>
      <c r="C186" s="202">
        <v>12</v>
      </c>
      <c r="D186" s="205">
        <v>80</v>
      </c>
      <c r="E186" s="201"/>
      <c r="F186" s="203">
        <v>160000</v>
      </c>
    </row>
    <row r="187" spans="1:6" ht="12.75">
      <c r="A187">
        <f t="shared" si="3"/>
        <v>185</v>
      </c>
      <c r="B187" s="206" t="s">
        <v>34</v>
      </c>
      <c r="C187" s="202">
        <v>6.2</v>
      </c>
      <c r="D187" s="205">
        <v>80</v>
      </c>
      <c r="E187" s="202" t="s">
        <v>35</v>
      </c>
      <c r="F187" s="203">
        <v>100000</v>
      </c>
    </row>
    <row r="188" spans="1:6" ht="12.75">
      <c r="A188">
        <f t="shared" si="3"/>
        <v>186</v>
      </c>
      <c r="B188" s="206" t="s">
        <v>36</v>
      </c>
      <c r="C188" s="202">
        <v>8.2</v>
      </c>
      <c r="D188" s="205">
        <v>80</v>
      </c>
      <c r="E188" s="202" t="s">
        <v>35</v>
      </c>
      <c r="F188" s="203">
        <v>140000</v>
      </c>
    </row>
    <row r="189" spans="1:6" ht="12.75">
      <c r="A189">
        <f t="shared" si="3"/>
        <v>187</v>
      </c>
      <c r="B189" s="206" t="s">
        <v>39</v>
      </c>
      <c r="C189" s="202">
        <v>4</v>
      </c>
      <c r="D189" s="205">
        <v>80</v>
      </c>
      <c r="E189" s="201"/>
      <c r="F189" s="203">
        <v>190000</v>
      </c>
    </row>
    <row r="190" spans="1:6" ht="12.75">
      <c r="A190">
        <f t="shared" si="3"/>
        <v>188</v>
      </c>
      <c r="B190" s="206" t="s">
        <v>40</v>
      </c>
      <c r="C190" s="202">
        <v>6.3</v>
      </c>
      <c r="D190" s="205">
        <v>80</v>
      </c>
      <c r="E190" s="201"/>
      <c r="F190" s="203">
        <v>300000</v>
      </c>
    </row>
    <row r="191" spans="1:6" ht="12.75">
      <c r="A191">
        <f t="shared" si="3"/>
        <v>189</v>
      </c>
      <c r="B191" s="206" t="s">
        <v>41</v>
      </c>
      <c r="C191" s="202">
        <v>8.3</v>
      </c>
      <c r="D191" s="205">
        <v>80</v>
      </c>
      <c r="E191" s="201"/>
      <c r="F191" s="203">
        <v>440000</v>
      </c>
    </row>
    <row r="192" spans="1:6" ht="12.75">
      <c r="A192">
        <f t="shared" si="3"/>
        <v>190</v>
      </c>
      <c r="B192" s="206" t="s">
        <v>85</v>
      </c>
      <c r="C192" s="202"/>
      <c r="D192" s="205">
        <v>0</v>
      </c>
      <c r="E192" s="201"/>
      <c r="F192" s="203"/>
    </row>
    <row r="193" spans="1:6" ht="12.75">
      <c r="A193">
        <f t="shared" si="3"/>
        <v>191</v>
      </c>
      <c r="B193" s="201"/>
      <c r="C193" s="201"/>
      <c r="D193" s="201"/>
      <c r="E193" s="201"/>
      <c r="F193" s="201"/>
    </row>
    <row r="194" spans="1:6" ht="12.75">
      <c r="A194">
        <f t="shared" si="3"/>
        <v>192</v>
      </c>
      <c r="B194" s="201"/>
      <c r="C194" s="201"/>
      <c r="D194" s="201"/>
      <c r="E194" s="201"/>
      <c r="F194" s="201"/>
    </row>
    <row r="195" spans="1:6" ht="12.75">
      <c r="A195">
        <f t="shared" si="3"/>
        <v>193</v>
      </c>
      <c r="B195" s="201"/>
      <c r="C195" s="201"/>
      <c r="D195" s="201"/>
      <c r="E195" s="201"/>
      <c r="F195" s="201"/>
    </row>
    <row r="196" spans="1:6" ht="12.75">
      <c r="A196">
        <f t="shared" si="3"/>
        <v>194</v>
      </c>
      <c r="B196" s="201"/>
      <c r="C196" s="201"/>
      <c r="D196" s="201"/>
      <c r="E196" s="201"/>
      <c r="F196" s="201"/>
    </row>
    <row r="197" spans="1:6" ht="12.75">
      <c r="A197">
        <f t="shared" si="3"/>
        <v>195</v>
      </c>
      <c r="B197" s="201"/>
      <c r="C197" s="201"/>
      <c r="D197" s="201"/>
      <c r="E197" s="201"/>
      <c r="F197" s="201"/>
    </row>
    <row r="198" spans="1:6" ht="12.75">
      <c r="A198">
        <f t="shared" si="3"/>
        <v>196</v>
      </c>
      <c r="B198" s="201"/>
      <c r="C198" s="201"/>
      <c r="D198" s="201"/>
      <c r="E198" s="201"/>
      <c r="F198" s="201"/>
    </row>
    <row r="199" spans="1:6" ht="12.75">
      <c r="A199">
        <f t="shared" si="3"/>
        <v>197</v>
      </c>
      <c r="B199" s="201"/>
      <c r="C199" s="201"/>
      <c r="D199" s="201"/>
      <c r="E199" s="201"/>
      <c r="F199" s="201"/>
    </row>
    <row r="200" spans="1:6" ht="12.75">
      <c r="A200">
        <f t="shared" si="3"/>
        <v>198</v>
      </c>
      <c r="B200" s="201"/>
      <c r="C200" s="201"/>
      <c r="D200" s="201"/>
      <c r="E200" s="201"/>
      <c r="F200" s="201"/>
    </row>
    <row r="201" spans="1:6" ht="12.75">
      <c r="A201">
        <f t="shared" si="3"/>
        <v>199</v>
      </c>
      <c r="B201" s="201"/>
      <c r="C201" s="201"/>
      <c r="D201" s="201"/>
      <c r="E201" s="201"/>
      <c r="F201" s="201"/>
    </row>
    <row r="202" spans="1:6" ht="12.75">
      <c r="A202">
        <f t="shared" si="3"/>
        <v>200</v>
      </c>
      <c r="B202" s="201"/>
      <c r="C202" s="201"/>
      <c r="D202" s="201"/>
      <c r="E202" s="201"/>
      <c r="F202" s="201"/>
    </row>
    <row r="203" spans="1:6" ht="12.75">
      <c r="A203">
        <f t="shared" si="3"/>
        <v>201</v>
      </c>
      <c r="B203" s="209" t="s">
        <v>233</v>
      </c>
      <c r="C203" s="201"/>
      <c r="D203" s="205"/>
      <c r="E203" s="201"/>
      <c r="F203" s="203"/>
    </row>
    <row r="204" spans="1:6" ht="12.75">
      <c r="A204">
        <f t="shared" si="3"/>
        <v>202</v>
      </c>
      <c r="B204" s="206" t="s">
        <v>234</v>
      </c>
      <c r="C204" s="202">
        <v>3</v>
      </c>
      <c r="D204" s="205">
        <v>50</v>
      </c>
      <c r="E204" s="201"/>
      <c r="F204" s="203">
        <v>600000</v>
      </c>
    </row>
    <row r="205" spans="1:6" ht="12.75">
      <c r="A205">
        <f t="shared" si="3"/>
        <v>203</v>
      </c>
      <c r="B205" s="206" t="s">
        <v>235</v>
      </c>
      <c r="C205" s="202">
        <v>3.6</v>
      </c>
      <c r="D205" s="205">
        <v>50</v>
      </c>
      <c r="E205" s="201"/>
      <c r="F205" s="203">
        <f>C205*200000</f>
        <v>720000</v>
      </c>
    </row>
    <row r="206" spans="1:6" ht="12.75">
      <c r="A206">
        <f t="shared" si="3"/>
        <v>204</v>
      </c>
      <c r="B206" s="206" t="s">
        <v>236</v>
      </c>
      <c r="C206" s="202">
        <v>4.2</v>
      </c>
      <c r="D206" s="205">
        <v>50</v>
      </c>
      <c r="E206" s="201"/>
      <c r="F206" s="203">
        <f aca="true" t="shared" si="4" ref="F206:F212">C206*200000</f>
        <v>840000</v>
      </c>
    </row>
    <row r="207" spans="1:6" ht="12.75">
      <c r="A207">
        <f t="shared" si="3"/>
        <v>205</v>
      </c>
      <c r="B207" s="206" t="s">
        <v>237</v>
      </c>
      <c r="C207" s="202">
        <f>C206+0.6</f>
        <v>4.8</v>
      </c>
      <c r="D207" s="205">
        <v>50</v>
      </c>
      <c r="E207" s="201"/>
      <c r="F207" s="203">
        <f t="shared" si="4"/>
        <v>960000</v>
      </c>
    </row>
    <row r="208" spans="1:6" ht="12.75">
      <c r="A208">
        <f aca="true" t="shared" si="5" ref="A208:A271">A207+1</f>
        <v>206</v>
      </c>
      <c r="B208" s="206" t="s">
        <v>238</v>
      </c>
      <c r="C208" s="202">
        <f>C207+0.6</f>
        <v>5.3999999999999995</v>
      </c>
      <c r="D208" s="205">
        <v>50</v>
      </c>
      <c r="E208" s="201"/>
      <c r="F208" s="203">
        <f t="shared" si="4"/>
        <v>1080000</v>
      </c>
    </row>
    <row r="209" spans="1:6" ht="12.75">
      <c r="A209">
        <f t="shared" si="5"/>
        <v>207</v>
      </c>
      <c r="B209" s="206" t="s">
        <v>239</v>
      </c>
      <c r="C209" s="202">
        <f>C208+0.6</f>
        <v>5.999999999999999</v>
      </c>
      <c r="D209" s="205">
        <v>50</v>
      </c>
      <c r="E209" s="201"/>
      <c r="F209" s="203">
        <f t="shared" si="4"/>
        <v>1199999.9999999998</v>
      </c>
    </row>
    <row r="210" spans="1:6" ht="12.75">
      <c r="A210">
        <f t="shared" si="5"/>
        <v>208</v>
      </c>
      <c r="B210" s="206" t="s">
        <v>240</v>
      </c>
      <c r="C210" s="202">
        <f>C209+0.6</f>
        <v>6.599999999999999</v>
      </c>
      <c r="D210" s="205">
        <v>50</v>
      </c>
      <c r="E210" s="201"/>
      <c r="F210" s="203">
        <f t="shared" si="4"/>
        <v>1319999.9999999998</v>
      </c>
    </row>
    <row r="211" spans="1:6" ht="12.75">
      <c r="A211">
        <f t="shared" si="5"/>
        <v>209</v>
      </c>
      <c r="B211" s="206" t="s">
        <v>241</v>
      </c>
      <c r="C211" s="202">
        <f>C210+0.6</f>
        <v>7.199999999999998</v>
      </c>
      <c r="D211" s="205">
        <v>50</v>
      </c>
      <c r="E211" s="201"/>
      <c r="F211" s="203">
        <f t="shared" si="4"/>
        <v>1439999.9999999998</v>
      </c>
    </row>
    <row r="212" spans="1:6" ht="12.75">
      <c r="A212">
        <f t="shared" si="5"/>
        <v>210</v>
      </c>
      <c r="B212" s="206" t="s">
        <v>242</v>
      </c>
      <c r="C212" s="202">
        <v>9</v>
      </c>
      <c r="D212" s="205">
        <v>50</v>
      </c>
      <c r="E212" s="201"/>
      <c r="F212" s="203">
        <f t="shared" si="4"/>
        <v>1800000</v>
      </c>
    </row>
    <row r="213" spans="1:6" ht="12.75">
      <c r="A213">
        <f t="shared" si="5"/>
        <v>211</v>
      </c>
      <c r="B213" s="201"/>
      <c r="C213" s="201"/>
      <c r="D213" s="201"/>
      <c r="E213" s="201"/>
      <c r="F213" s="201"/>
    </row>
    <row r="214" spans="1:6" ht="12.75">
      <c r="A214">
        <f t="shared" si="5"/>
        <v>212</v>
      </c>
      <c r="B214" s="201"/>
      <c r="C214" s="201"/>
      <c r="D214" s="201"/>
      <c r="E214" s="201"/>
      <c r="F214" s="201"/>
    </row>
    <row r="215" spans="1:6" ht="12.75">
      <c r="A215">
        <f t="shared" si="5"/>
        <v>213</v>
      </c>
      <c r="B215" s="201"/>
      <c r="C215" s="201"/>
      <c r="D215" s="201"/>
      <c r="E215" s="201"/>
      <c r="F215" s="201"/>
    </row>
    <row r="216" spans="1:6" ht="12.75">
      <c r="A216">
        <f t="shared" si="5"/>
        <v>214</v>
      </c>
      <c r="B216" s="201"/>
      <c r="C216" s="201"/>
      <c r="D216" s="201"/>
      <c r="E216" s="201"/>
      <c r="F216" s="201"/>
    </row>
    <row r="217" spans="1:6" ht="12.75">
      <c r="A217">
        <f t="shared" si="5"/>
        <v>215</v>
      </c>
      <c r="B217" s="201"/>
      <c r="C217" s="201"/>
      <c r="D217" s="201"/>
      <c r="E217" s="201"/>
      <c r="F217" s="201"/>
    </row>
    <row r="218" spans="1:6" ht="12.75">
      <c r="A218">
        <f t="shared" si="5"/>
        <v>216</v>
      </c>
      <c r="B218" s="201"/>
      <c r="C218" s="201"/>
      <c r="D218" s="201"/>
      <c r="E218" s="201"/>
      <c r="F218" s="201"/>
    </row>
    <row r="219" spans="1:6" ht="12.75">
      <c r="A219">
        <f t="shared" si="5"/>
        <v>217</v>
      </c>
      <c r="B219" s="201"/>
      <c r="C219" s="201"/>
      <c r="D219" s="201"/>
      <c r="E219" s="201"/>
      <c r="F219" s="201"/>
    </row>
    <row r="220" spans="1:6" ht="12.75">
      <c r="A220">
        <f t="shared" si="5"/>
        <v>218</v>
      </c>
      <c r="B220" s="201"/>
      <c r="C220" s="201"/>
      <c r="D220" s="201"/>
      <c r="E220" s="201"/>
      <c r="F220" s="201"/>
    </row>
    <row r="221" spans="1:6" ht="12.75">
      <c r="A221">
        <f t="shared" si="5"/>
        <v>219</v>
      </c>
      <c r="B221" s="201"/>
      <c r="C221" s="201"/>
      <c r="D221" s="201"/>
      <c r="E221" s="201"/>
      <c r="F221" s="201"/>
    </row>
    <row r="222" spans="1:6" ht="12.75">
      <c r="A222">
        <f t="shared" si="5"/>
        <v>220</v>
      </c>
      <c r="B222" s="201"/>
      <c r="C222" s="201"/>
      <c r="D222" s="201"/>
      <c r="E222" s="201"/>
      <c r="F222" s="201"/>
    </row>
    <row r="223" spans="1:6" ht="12.75">
      <c r="A223">
        <f t="shared" si="5"/>
        <v>221</v>
      </c>
      <c r="B223" s="209" t="s">
        <v>42</v>
      </c>
      <c r="C223" s="201"/>
      <c r="D223" s="205">
        <v>0</v>
      </c>
      <c r="E223" s="201"/>
      <c r="F223" s="201"/>
    </row>
    <row r="224" spans="1:6" ht="12.75">
      <c r="A224">
        <f t="shared" si="5"/>
        <v>222</v>
      </c>
      <c r="B224" s="206" t="s">
        <v>43</v>
      </c>
      <c r="C224" s="202">
        <v>12</v>
      </c>
      <c r="D224" s="205">
        <v>65</v>
      </c>
      <c r="E224" s="203" t="s">
        <v>44</v>
      </c>
      <c r="F224" s="203">
        <v>40000</v>
      </c>
    </row>
    <row r="225" spans="1:6" ht="12.75">
      <c r="A225">
        <f t="shared" si="5"/>
        <v>223</v>
      </c>
      <c r="B225" s="206" t="s">
        <v>45</v>
      </c>
      <c r="C225" s="202">
        <v>24</v>
      </c>
      <c r="D225" s="205">
        <v>65</v>
      </c>
      <c r="E225" s="203" t="s">
        <v>46</v>
      </c>
      <c r="F225" s="203">
        <v>100000</v>
      </c>
    </row>
    <row r="226" spans="1:6" ht="12.75">
      <c r="A226">
        <f t="shared" si="5"/>
        <v>224</v>
      </c>
      <c r="B226" s="206" t="s">
        <v>47</v>
      </c>
      <c r="C226" s="202">
        <v>12</v>
      </c>
      <c r="D226" s="205">
        <v>65</v>
      </c>
      <c r="E226" s="202" t="s">
        <v>48</v>
      </c>
      <c r="F226" s="203">
        <v>240000</v>
      </c>
    </row>
    <row r="227" spans="1:6" ht="12.75">
      <c r="A227">
        <f t="shared" si="5"/>
        <v>225</v>
      </c>
      <c r="B227" s="206" t="s">
        <v>49</v>
      </c>
      <c r="C227" s="202">
        <v>24</v>
      </c>
      <c r="D227" s="205">
        <v>65</v>
      </c>
      <c r="E227" s="202" t="s">
        <v>48</v>
      </c>
      <c r="F227" s="203">
        <v>350000</v>
      </c>
    </row>
    <row r="228" spans="1:6" ht="12.75">
      <c r="A228">
        <f t="shared" si="5"/>
        <v>226</v>
      </c>
      <c r="B228" s="206" t="s">
        <v>85</v>
      </c>
      <c r="C228" s="202"/>
      <c r="D228" s="205">
        <v>0</v>
      </c>
      <c r="E228" s="202"/>
      <c r="F228" s="203"/>
    </row>
    <row r="229" spans="1:6" ht="12.75">
      <c r="A229">
        <f t="shared" si="5"/>
        <v>227</v>
      </c>
      <c r="B229" s="201"/>
      <c r="C229" s="201"/>
      <c r="D229" s="201"/>
      <c r="E229" s="201"/>
      <c r="F229" s="201"/>
    </row>
    <row r="230" spans="1:6" ht="12.75">
      <c r="A230">
        <f t="shared" si="5"/>
        <v>228</v>
      </c>
      <c r="B230" s="201"/>
      <c r="C230" s="201"/>
      <c r="D230" s="201"/>
      <c r="E230" s="201"/>
      <c r="F230" s="201"/>
    </row>
    <row r="231" spans="1:6" ht="12.75">
      <c r="A231">
        <f t="shared" si="5"/>
        <v>229</v>
      </c>
      <c r="B231" s="201"/>
      <c r="C231" s="201"/>
      <c r="D231" s="201"/>
      <c r="E231" s="201"/>
      <c r="F231" s="201"/>
    </row>
    <row r="232" spans="1:6" ht="12.75">
      <c r="A232">
        <f t="shared" si="5"/>
        <v>230</v>
      </c>
      <c r="B232" s="201"/>
      <c r="C232" s="201"/>
      <c r="D232" s="201"/>
      <c r="E232" s="201"/>
      <c r="F232" s="201"/>
    </row>
    <row r="233" spans="1:6" ht="12.75">
      <c r="A233">
        <f t="shared" si="5"/>
        <v>231</v>
      </c>
      <c r="B233" s="201"/>
      <c r="C233" s="201"/>
      <c r="D233" s="201"/>
      <c r="E233" s="201"/>
      <c r="F233" s="201"/>
    </row>
    <row r="234" spans="1:6" ht="12.75">
      <c r="A234">
        <f t="shared" si="5"/>
        <v>232</v>
      </c>
      <c r="B234" s="201"/>
      <c r="C234" s="201"/>
      <c r="D234" s="201"/>
      <c r="E234" s="201"/>
      <c r="F234" s="201"/>
    </row>
    <row r="235" spans="1:6" ht="12.75">
      <c r="A235">
        <f t="shared" si="5"/>
        <v>233</v>
      </c>
      <c r="B235" s="201"/>
      <c r="C235" s="201"/>
      <c r="D235" s="201"/>
      <c r="E235" s="201"/>
      <c r="F235" s="201"/>
    </row>
    <row r="236" spans="1:6" ht="12.75">
      <c r="A236">
        <f t="shared" si="5"/>
        <v>234</v>
      </c>
      <c r="B236" s="201"/>
      <c r="C236" s="201"/>
      <c r="D236" s="201"/>
      <c r="E236" s="201"/>
      <c r="F236" s="201"/>
    </row>
    <row r="237" spans="1:6" ht="12.75">
      <c r="A237">
        <f t="shared" si="5"/>
        <v>235</v>
      </c>
      <c r="B237" s="201"/>
      <c r="C237" s="201"/>
      <c r="D237" s="201"/>
      <c r="E237" s="201"/>
      <c r="F237" s="201"/>
    </row>
    <row r="238" spans="1:6" ht="12.75">
      <c r="A238">
        <f t="shared" si="5"/>
        <v>236</v>
      </c>
      <c r="B238" s="201"/>
      <c r="C238" s="201"/>
      <c r="D238" s="201"/>
      <c r="E238" s="201"/>
      <c r="F238" s="201"/>
    </row>
    <row r="239" spans="1:6" ht="12.75">
      <c r="A239">
        <f t="shared" si="5"/>
        <v>237</v>
      </c>
      <c r="B239" s="201"/>
      <c r="C239" s="201"/>
      <c r="D239" s="201"/>
      <c r="E239" s="201"/>
      <c r="F239" s="201"/>
    </row>
    <row r="240" spans="1:6" ht="12.75">
      <c r="A240">
        <f t="shared" si="5"/>
        <v>238</v>
      </c>
      <c r="B240" s="201"/>
      <c r="C240" s="201"/>
      <c r="D240" s="201"/>
      <c r="E240" s="201"/>
      <c r="F240" s="201"/>
    </row>
    <row r="241" spans="1:6" ht="12.75">
      <c r="A241">
        <f t="shared" si="5"/>
        <v>239</v>
      </c>
      <c r="B241" s="201"/>
      <c r="C241" s="201"/>
      <c r="D241" s="201"/>
      <c r="E241" s="201"/>
      <c r="F241" s="201"/>
    </row>
    <row r="242" spans="1:6" ht="12.75">
      <c r="A242">
        <f t="shared" si="5"/>
        <v>240</v>
      </c>
      <c r="B242" s="201"/>
      <c r="C242" s="201"/>
      <c r="D242" s="201"/>
      <c r="E242" s="201"/>
      <c r="F242" s="201"/>
    </row>
    <row r="243" spans="1:6" ht="12.75">
      <c r="A243">
        <f t="shared" si="5"/>
        <v>241</v>
      </c>
      <c r="B243" s="209" t="s">
        <v>50</v>
      </c>
      <c r="C243" s="201"/>
      <c r="D243" s="205">
        <v>0</v>
      </c>
      <c r="E243" s="201"/>
      <c r="F243" s="201"/>
    </row>
    <row r="244" spans="1:6" ht="12.75">
      <c r="A244">
        <f t="shared" si="5"/>
        <v>242</v>
      </c>
      <c r="B244" s="206" t="s">
        <v>43</v>
      </c>
      <c r="C244" s="202">
        <v>12</v>
      </c>
      <c r="D244" s="205">
        <v>65</v>
      </c>
      <c r="E244" s="202" t="s">
        <v>51</v>
      </c>
      <c r="F244" s="203">
        <v>85000</v>
      </c>
    </row>
    <row r="245" spans="1:6" ht="12.75">
      <c r="A245">
        <f t="shared" si="5"/>
        <v>243</v>
      </c>
      <c r="B245" s="206" t="s">
        <v>52</v>
      </c>
      <c r="C245" s="202">
        <v>12</v>
      </c>
      <c r="D245" s="205">
        <v>65</v>
      </c>
      <c r="E245" s="202" t="s">
        <v>53</v>
      </c>
      <c r="F245" s="203">
        <v>175000</v>
      </c>
    </row>
    <row r="246" spans="1:6" ht="12.75">
      <c r="A246">
        <f t="shared" si="5"/>
        <v>244</v>
      </c>
      <c r="B246" s="206" t="s">
        <v>45</v>
      </c>
      <c r="C246" s="202">
        <v>24</v>
      </c>
      <c r="D246" s="205">
        <v>65</v>
      </c>
      <c r="E246" s="202" t="s">
        <v>54</v>
      </c>
      <c r="F246" s="203">
        <v>270000</v>
      </c>
    </row>
    <row r="247" spans="1:6" ht="12.75">
      <c r="A247">
        <f t="shared" si="5"/>
        <v>245</v>
      </c>
      <c r="B247" s="206" t="s">
        <v>55</v>
      </c>
      <c r="C247" s="202">
        <v>24</v>
      </c>
      <c r="D247" s="205">
        <v>65</v>
      </c>
      <c r="E247" s="202" t="s">
        <v>48</v>
      </c>
      <c r="F247" s="203">
        <v>550000</v>
      </c>
    </row>
    <row r="248" spans="1:6" ht="12.75">
      <c r="A248">
        <f t="shared" si="5"/>
        <v>246</v>
      </c>
      <c r="B248" s="206" t="s">
        <v>85</v>
      </c>
      <c r="C248" s="202"/>
      <c r="D248" s="205">
        <v>0</v>
      </c>
      <c r="E248" s="202"/>
      <c r="F248" s="203"/>
    </row>
    <row r="249" spans="1:6" ht="12.75">
      <c r="A249">
        <f t="shared" si="5"/>
        <v>247</v>
      </c>
      <c r="B249" s="201"/>
      <c r="C249" s="201"/>
      <c r="D249" s="201"/>
      <c r="E249" s="201"/>
      <c r="F249" s="201"/>
    </row>
    <row r="250" spans="1:6" ht="12.75">
      <c r="A250">
        <f t="shared" si="5"/>
        <v>248</v>
      </c>
      <c r="B250" s="201"/>
      <c r="C250" s="201"/>
      <c r="D250" s="201"/>
      <c r="E250" s="201"/>
      <c r="F250" s="201"/>
    </row>
    <row r="251" spans="1:6" ht="12.75">
      <c r="A251">
        <f t="shared" si="5"/>
        <v>249</v>
      </c>
      <c r="B251" s="201"/>
      <c r="C251" s="201"/>
      <c r="D251" s="201"/>
      <c r="E251" s="201"/>
      <c r="F251" s="201"/>
    </row>
    <row r="252" spans="1:6" ht="12.75">
      <c r="A252">
        <f t="shared" si="5"/>
        <v>250</v>
      </c>
      <c r="B252" s="201"/>
      <c r="C252" s="201"/>
      <c r="D252" s="201"/>
      <c r="E252" s="201"/>
      <c r="F252" s="201"/>
    </row>
    <row r="253" spans="1:6" ht="12.75">
      <c r="A253">
        <f t="shared" si="5"/>
        <v>251</v>
      </c>
      <c r="B253" s="201"/>
      <c r="C253" s="201"/>
      <c r="D253" s="201"/>
      <c r="E253" s="201"/>
      <c r="F253" s="201"/>
    </row>
    <row r="254" spans="1:6" ht="12.75">
      <c r="A254">
        <f t="shared" si="5"/>
        <v>252</v>
      </c>
      <c r="B254" s="201"/>
      <c r="C254" s="201"/>
      <c r="D254" s="201"/>
      <c r="E254" s="201"/>
      <c r="F254" s="201"/>
    </row>
    <row r="255" spans="1:6" ht="12.75">
      <c r="A255">
        <f t="shared" si="5"/>
        <v>253</v>
      </c>
      <c r="B255" s="201"/>
      <c r="C255" s="201"/>
      <c r="D255" s="201"/>
      <c r="E255" s="201"/>
      <c r="F255" s="201"/>
    </row>
    <row r="256" spans="1:6" ht="12.75">
      <c r="A256">
        <f t="shared" si="5"/>
        <v>254</v>
      </c>
      <c r="B256" s="201"/>
      <c r="C256" s="201"/>
      <c r="D256" s="201"/>
      <c r="E256" s="201"/>
      <c r="F256" s="201"/>
    </row>
    <row r="257" spans="1:6" ht="12.75">
      <c r="A257">
        <f t="shared" si="5"/>
        <v>255</v>
      </c>
      <c r="B257" s="201"/>
      <c r="C257" s="201"/>
      <c r="D257" s="201"/>
      <c r="E257" s="201"/>
      <c r="F257" s="201"/>
    </row>
    <row r="258" spans="1:6" ht="12.75">
      <c r="A258">
        <f t="shared" si="5"/>
        <v>256</v>
      </c>
      <c r="B258" s="201"/>
      <c r="C258" s="201"/>
      <c r="D258" s="201"/>
      <c r="E258" s="201"/>
      <c r="F258" s="201"/>
    </row>
    <row r="259" spans="1:6" ht="12.75">
      <c r="A259">
        <f t="shared" si="5"/>
        <v>257</v>
      </c>
      <c r="B259" s="201"/>
      <c r="C259" s="201"/>
      <c r="D259" s="201"/>
      <c r="E259" s="201"/>
      <c r="F259" s="201"/>
    </row>
    <row r="260" spans="1:6" ht="12.75">
      <c r="A260">
        <f t="shared" si="5"/>
        <v>258</v>
      </c>
      <c r="B260" s="201"/>
      <c r="C260" s="201"/>
      <c r="D260" s="201"/>
      <c r="E260" s="201"/>
      <c r="F260" s="201"/>
    </row>
    <row r="261" spans="1:6" ht="12.75">
      <c r="A261">
        <f t="shared" si="5"/>
        <v>259</v>
      </c>
      <c r="B261" s="201"/>
      <c r="C261" s="201"/>
      <c r="D261" s="201"/>
      <c r="E261" s="201"/>
      <c r="F261" s="201"/>
    </row>
    <row r="262" spans="1:6" ht="12.75">
      <c r="A262">
        <f t="shared" si="5"/>
        <v>260</v>
      </c>
      <c r="B262" s="201"/>
      <c r="C262" s="201"/>
      <c r="D262" s="201"/>
      <c r="E262" s="201"/>
      <c r="F262" s="201"/>
    </row>
    <row r="263" spans="1:6" ht="12.75">
      <c r="A263">
        <f t="shared" si="5"/>
        <v>261</v>
      </c>
      <c r="B263" s="209" t="s">
        <v>56</v>
      </c>
      <c r="C263" s="201"/>
      <c r="D263" s="205">
        <v>0</v>
      </c>
      <c r="E263" s="201"/>
      <c r="F263" s="201"/>
    </row>
    <row r="264" spans="1:6" ht="12.75">
      <c r="A264">
        <f t="shared" si="5"/>
        <v>262</v>
      </c>
      <c r="B264" s="206" t="s">
        <v>57</v>
      </c>
      <c r="C264" s="202">
        <v>6</v>
      </c>
      <c r="D264" s="205">
        <v>75</v>
      </c>
      <c r="E264" s="201"/>
      <c r="F264" s="203">
        <v>45000</v>
      </c>
    </row>
    <row r="265" spans="1:6" ht="12.75">
      <c r="A265">
        <f t="shared" si="5"/>
        <v>263</v>
      </c>
      <c r="B265" s="206" t="s">
        <v>58</v>
      </c>
      <c r="C265" s="202">
        <v>12</v>
      </c>
      <c r="D265" s="205">
        <v>75</v>
      </c>
      <c r="E265" s="201"/>
      <c r="F265" s="203">
        <v>90000</v>
      </c>
    </row>
    <row r="266" spans="1:6" ht="12.75">
      <c r="A266">
        <f t="shared" si="5"/>
        <v>264</v>
      </c>
      <c r="B266" s="206" t="s">
        <v>85</v>
      </c>
      <c r="C266" s="202"/>
      <c r="D266" s="205">
        <v>0</v>
      </c>
      <c r="E266" s="201"/>
      <c r="F266" s="203"/>
    </row>
    <row r="267" spans="1:6" ht="12.75">
      <c r="A267">
        <f t="shared" si="5"/>
        <v>265</v>
      </c>
      <c r="B267" s="201"/>
      <c r="C267" s="201"/>
      <c r="D267" s="201"/>
      <c r="E267" s="201"/>
      <c r="F267" s="201"/>
    </row>
    <row r="268" spans="1:6" ht="12.75">
      <c r="A268">
        <f t="shared" si="5"/>
        <v>266</v>
      </c>
      <c r="B268" s="201"/>
      <c r="C268" s="201"/>
      <c r="D268" s="201"/>
      <c r="E268" s="201"/>
      <c r="F268" s="201"/>
    </row>
    <row r="269" spans="1:6" ht="12.75">
      <c r="A269">
        <f t="shared" si="5"/>
        <v>267</v>
      </c>
      <c r="B269" s="201"/>
      <c r="C269" s="201"/>
      <c r="D269" s="201"/>
      <c r="E269" s="201"/>
      <c r="F269" s="201"/>
    </row>
    <row r="270" spans="1:6" ht="12.75">
      <c r="A270">
        <f t="shared" si="5"/>
        <v>268</v>
      </c>
      <c r="B270" s="201"/>
      <c r="C270" s="201"/>
      <c r="D270" s="201"/>
      <c r="E270" s="201"/>
      <c r="F270" s="201"/>
    </row>
    <row r="271" spans="1:6" ht="12.75">
      <c r="A271">
        <f t="shared" si="5"/>
        <v>269</v>
      </c>
      <c r="B271" s="201"/>
      <c r="C271" s="201"/>
      <c r="D271" s="201"/>
      <c r="E271" s="201"/>
      <c r="F271" s="201"/>
    </row>
    <row r="272" spans="1:6" ht="12.75">
      <c r="A272">
        <f aca="true" t="shared" si="6" ref="A272:A335">A271+1</f>
        <v>270</v>
      </c>
      <c r="B272" s="201"/>
      <c r="C272" s="201"/>
      <c r="D272" s="201"/>
      <c r="E272" s="201"/>
      <c r="F272" s="201"/>
    </row>
    <row r="273" spans="1:6" ht="12.75">
      <c r="A273">
        <f t="shared" si="6"/>
        <v>271</v>
      </c>
      <c r="B273" s="201"/>
      <c r="C273" s="201"/>
      <c r="D273" s="201"/>
      <c r="E273" s="201"/>
      <c r="F273" s="201"/>
    </row>
    <row r="274" spans="1:6" ht="12.75">
      <c r="A274">
        <f t="shared" si="6"/>
        <v>272</v>
      </c>
      <c r="B274" s="201"/>
      <c r="C274" s="201"/>
      <c r="D274" s="201"/>
      <c r="E274" s="201"/>
      <c r="F274" s="201"/>
    </row>
    <row r="275" spans="1:6" ht="12.75">
      <c r="A275">
        <f t="shared" si="6"/>
        <v>273</v>
      </c>
      <c r="B275" s="201"/>
      <c r="C275" s="201"/>
      <c r="D275" s="201"/>
      <c r="E275" s="201"/>
      <c r="F275" s="201"/>
    </row>
    <row r="276" spans="1:6" ht="12.75">
      <c r="A276">
        <f t="shared" si="6"/>
        <v>274</v>
      </c>
      <c r="B276" s="201"/>
      <c r="C276" s="201"/>
      <c r="D276" s="201"/>
      <c r="E276" s="201"/>
      <c r="F276" s="201"/>
    </row>
    <row r="277" spans="1:6" ht="12.75">
      <c r="A277">
        <f t="shared" si="6"/>
        <v>275</v>
      </c>
      <c r="B277" s="201"/>
      <c r="C277" s="201"/>
      <c r="D277" s="201"/>
      <c r="E277" s="201"/>
      <c r="F277" s="201"/>
    </row>
    <row r="278" spans="1:6" ht="12.75">
      <c r="A278">
        <f t="shared" si="6"/>
        <v>276</v>
      </c>
      <c r="B278" s="201"/>
      <c r="C278" s="201"/>
      <c r="D278" s="201"/>
      <c r="E278" s="201"/>
      <c r="F278" s="201"/>
    </row>
    <row r="279" spans="1:6" ht="12.75">
      <c r="A279">
        <f t="shared" si="6"/>
        <v>277</v>
      </c>
      <c r="B279" s="201"/>
      <c r="C279" s="201"/>
      <c r="D279" s="201"/>
      <c r="E279" s="201"/>
      <c r="F279" s="201"/>
    </row>
    <row r="280" spans="1:6" ht="12.75">
      <c r="A280">
        <f t="shared" si="6"/>
        <v>278</v>
      </c>
      <c r="B280" s="201"/>
      <c r="C280" s="201"/>
      <c r="D280" s="201"/>
      <c r="E280" s="201"/>
      <c r="F280" s="201"/>
    </row>
    <row r="281" spans="1:6" ht="12.75">
      <c r="A281">
        <f t="shared" si="6"/>
        <v>279</v>
      </c>
      <c r="B281" s="201"/>
      <c r="C281" s="201"/>
      <c r="D281" s="201"/>
      <c r="E281" s="201"/>
      <c r="F281" s="201"/>
    </row>
    <row r="282" spans="1:6" ht="12.75">
      <c r="A282">
        <f t="shared" si="6"/>
        <v>280</v>
      </c>
      <c r="B282" s="201"/>
      <c r="C282" s="201"/>
      <c r="D282" s="201"/>
      <c r="E282" s="201"/>
      <c r="F282" s="201"/>
    </row>
    <row r="283" spans="1:6" ht="13.5" thickBot="1">
      <c r="A283">
        <f t="shared" si="6"/>
        <v>281</v>
      </c>
      <c r="B283" s="209" t="s">
        <v>59</v>
      </c>
      <c r="C283" s="201"/>
      <c r="D283" s="205">
        <v>0</v>
      </c>
      <c r="E283" s="201"/>
      <c r="F283" s="201"/>
    </row>
    <row r="284" spans="1:6" ht="12.75">
      <c r="A284">
        <f t="shared" si="6"/>
        <v>282</v>
      </c>
      <c r="B284" s="214" t="s">
        <v>60</v>
      </c>
      <c r="C284" s="215">
        <v>6</v>
      </c>
      <c r="D284" s="216">
        <v>80</v>
      </c>
      <c r="E284" s="217"/>
      <c r="F284" s="218">
        <v>300000</v>
      </c>
    </row>
    <row r="285" spans="1:6" ht="12.75">
      <c r="A285">
        <f t="shared" si="6"/>
        <v>283</v>
      </c>
      <c r="B285" s="210" t="s">
        <v>61</v>
      </c>
      <c r="C285" s="207">
        <v>6</v>
      </c>
      <c r="D285" s="219">
        <v>65</v>
      </c>
      <c r="E285" s="212" t="s">
        <v>62</v>
      </c>
      <c r="F285" s="208">
        <v>594000</v>
      </c>
    </row>
    <row r="286" spans="1:6" ht="12.75">
      <c r="A286">
        <f t="shared" si="6"/>
        <v>284</v>
      </c>
      <c r="B286" s="210" t="s">
        <v>61</v>
      </c>
      <c r="C286" s="207">
        <v>6</v>
      </c>
      <c r="D286" s="219">
        <v>65</v>
      </c>
      <c r="E286" s="212" t="s">
        <v>63</v>
      </c>
      <c r="F286" s="208">
        <v>645000</v>
      </c>
    </row>
    <row r="287" spans="1:6" ht="12.75">
      <c r="A287">
        <f t="shared" si="6"/>
        <v>285</v>
      </c>
      <c r="B287" s="210" t="s">
        <v>64</v>
      </c>
      <c r="C287" s="207">
        <v>4</v>
      </c>
      <c r="D287" s="219">
        <v>80</v>
      </c>
      <c r="E287" s="212" t="s">
        <v>65</v>
      </c>
      <c r="F287" s="208">
        <v>40500</v>
      </c>
    </row>
    <row r="288" spans="1:6" ht="12.75">
      <c r="A288">
        <f t="shared" si="6"/>
        <v>286</v>
      </c>
      <c r="B288" s="210" t="s">
        <v>66</v>
      </c>
      <c r="C288" s="207">
        <v>5</v>
      </c>
      <c r="D288" s="219">
        <v>80</v>
      </c>
      <c r="E288" s="212" t="s">
        <v>67</v>
      </c>
      <c r="F288" s="208">
        <v>47000</v>
      </c>
    </row>
    <row r="289" spans="1:6" ht="12.75">
      <c r="A289">
        <f t="shared" si="6"/>
        <v>287</v>
      </c>
      <c r="B289" s="210" t="s">
        <v>68</v>
      </c>
      <c r="C289" s="207">
        <v>12</v>
      </c>
      <c r="D289" s="219">
        <v>80</v>
      </c>
      <c r="E289" s="212" t="s">
        <v>69</v>
      </c>
      <c r="F289" s="208">
        <v>74000</v>
      </c>
    </row>
    <row r="290" spans="1:6" ht="12.75">
      <c r="A290">
        <f t="shared" si="6"/>
        <v>288</v>
      </c>
      <c r="B290" s="210" t="s">
        <v>70</v>
      </c>
      <c r="C290" s="207">
        <v>8.2</v>
      </c>
      <c r="D290" s="219">
        <v>80</v>
      </c>
      <c r="E290" s="212" t="s">
        <v>65</v>
      </c>
      <c r="F290" s="208">
        <v>320000</v>
      </c>
    </row>
    <row r="291" spans="1:6" ht="12.75">
      <c r="A291">
        <f t="shared" si="6"/>
        <v>289</v>
      </c>
      <c r="B291" s="210" t="s">
        <v>71</v>
      </c>
      <c r="C291" s="207">
        <v>10.2</v>
      </c>
      <c r="D291" s="219">
        <v>80</v>
      </c>
      <c r="E291" s="212" t="s">
        <v>65</v>
      </c>
      <c r="F291" s="208">
        <v>180000</v>
      </c>
    </row>
    <row r="292" spans="1:6" ht="12.75">
      <c r="A292">
        <f t="shared" si="6"/>
        <v>290</v>
      </c>
      <c r="B292" s="201"/>
      <c r="C292" s="201"/>
      <c r="D292" s="201"/>
      <c r="E292" s="201"/>
      <c r="F292" s="201"/>
    </row>
    <row r="293" spans="1:6" ht="12.75">
      <c r="A293">
        <f t="shared" si="6"/>
        <v>291</v>
      </c>
      <c r="B293" s="201"/>
      <c r="C293" s="201"/>
      <c r="D293" s="201"/>
      <c r="E293" s="201"/>
      <c r="F293" s="201"/>
    </row>
    <row r="294" spans="1:6" ht="12.75">
      <c r="A294">
        <f t="shared" si="6"/>
        <v>292</v>
      </c>
      <c r="B294" s="201"/>
      <c r="C294" s="201"/>
      <c r="D294" s="201"/>
      <c r="E294" s="201"/>
      <c r="F294" s="201"/>
    </row>
    <row r="295" spans="1:6" ht="12.75">
      <c r="A295">
        <f t="shared" si="6"/>
        <v>293</v>
      </c>
      <c r="B295" s="201"/>
      <c r="C295" s="201"/>
      <c r="D295" s="201"/>
      <c r="E295" s="201"/>
      <c r="F295" s="201"/>
    </row>
    <row r="296" spans="1:6" ht="12.75">
      <c r="A296">
        <f t="shared" si="6"/>
        <v>294</v>
      </c>
      <c r="B296" s="201"/>
      <c r="C296" s="201"/>
      <c r="D296" s="201"/>
      <c r="E296" s="201"/>
      <c r="F296" s="201"/>
    </row>
    <row r="297" spans="1:6" ht="12.75">
      <c r="A297">
        <f t="shared" si="6"/>
        <v>295</v>
      </c>
      <c r="B297" s="201"/>
      <c r="C297" s="201"/>
      <c r="D297" s="201"/>
      <c r="E297" s="201"/>
      <c r="F297" s="201"/>
    </row>
    <row r="298" spans="1:6" ht="12.75">
      <c r="A298">
        <f t="shared" si="6"/>
        <v>296</v>
      </c>
      <c r="B298" s="201"/>
      <c r="C298" s="201"/>
      <c r="D298" s="201"/>
      <c r="E298" s="201"/>
      <c r="F298" s="201"/>
    </row>
    <row r="299" ht="12.75">
      <c r="A299">
        <f t="shared" si="6"/>
        <v>297</v>
      </c>
    </row>
    <row r="300" ht="12.75">
      <c r="A300">
        <f t="shared" si="6"/>
        <v>298</v>
      </c>
    </row>
    <row r="301" ht="12.75">
      <c r="A301">
        <f t="shared" si="6"/>
        <v>299</v>
      </c>
    </row>
    <row r="302" ht="12.75">
      <c r="A302">
        <f t="shared" si="6"/>
        <v>300</v>
      </c>
    </row>
    <row r="303" ht="12.75">
      <c r="A303">
        <f t="shared" si="6"/>
        <v>301</v>
      </c>
    </row>
    <row r="304" ht="12.75">
      <c r="A304">
        <f t="shared" si="6"/>
        <v>302</v>
      </c>
    </row>
    <row r="305" ht="12.75">
      <c r="A305">
        <f t="shared" si="6"/>
        <v>303</v>
      </c>
    </row>
    <row r="306" ht="12.75">
      <c r="A306">
        <f t="shared" si="6"/>
        <v>304</v>
      </c>
    </row>
    <row r="307" ht="12.75">
      <c r="A307">
        <f t="shared" si="6"/>
        <v>305</v>
      </c>
    </row>
    <row r="308" ht="12.75">
      <c r="A308">
        <f t="shared" si="6"/>
        <v>306</v>
      </c>
    </row>
    <row r="309" ht="12.75">
      <c r="A309">
        <f t="shared" si="6"/>
        <v>307</v>
      </c>
    </row>
    <row r="310" ht="12.75">
      <c r="A310">
        <f t="shared" si="6"/>
        <v>308</v>
      </c>
    </row>
    <row r="311" ht="12.75">
      <c r="A311">
        <f t="shared" si="6"/>
        <v>309</v>
      </c>
    </row>
    <row r="312" ht="12.75">
      <c r="A312">
        <f t="shared" si="6"/>
        <v>310</v>
      </c>
    </row>
    <row r="313" ht="12.75">
      <c r="A313">
        <f t="shared" si="6"/>
        <v>311</v>
      </c>
    </row>
    <row r="314" ht="12.75">
      <c r="A314">
        <f t="shared" si="6"/>
        <v>312</v>
      </c>
    </row>
    <row r="315" ht="12.75">
      <c r="A315">
        <f t="shared" si="6"/>
        <v>313</v>
      </c>
    </row>
    <row r="316" ht="12.75">
      <c r="A316">
        <f t="shared" si="6"/>
        <v>314</v>
      </c>
    </row>
    <row r="317" ht="12.75">
      <c r="A317">
        <f t="shared" si="6"/>
        <v>315</v>
      </c>
    </row>
    <row r="318" ht="12.75">
      <c r="A318">
        <f t="shared" si="6"/>
        <v>316</v>
      </c>
    </row>
    <row r="319" ht="12.75">
      <c r="A319">
        <f t="shared" si="6"/>
        <v>317</v>
      </c>
    </row>
    <row r="320" ht="12.75">
      <c r="A320">
        <f t="shared" si="6"/>
        <v>318</v>
      </c>
    </row>
    <row r="321" ht="12.75">
      <c r="A321">
        <f t="shared" si="6"/>
        <v>319</v>
      </c>
    </row>
    <row r="322" ht="12.75">
      <c r="A322">
        <f t="shared" si="6"/>
        <v>320</v>
      </c>
    </row>
    <row r="323" ht="12.75">
      <c r="A323">
        <f t="shared" si="6"/>
        <v>321</v>
      </c>
    </row>
    <row r="324" ht="12.75">
      <c r="A324">
        <f t="shared" si="6"/>
        <v>322</v>
      </c>
    </row>
    <row r="325" ht="12.75">
      <c r="A325">
        <f t="shared" si="6"/>
        <v>323</v>
      </c>
    </row>
    <row r="326" ht="12.75">
      <c r="A326">
        <f t="shared" si="6"/>
        <v>324</v>
      </c>
    </row>
    <row r="327" ht="12.75">
      <c r="A327">
        <f t="shared" si="6"/>
        <v>325</v>
      </c>
    </row>
    <row r="328" ht="12.75">
      <c r="A328">
        <f t="shared" si="6"/>
        <v>326</v>
      </c>
    </row>
    <row r="329" ht="12.75">
      <c r="A329">
        <f t="shared" si="6"/>
        <v>327</v>
      </c>
    </row>
    <row r="330" ht="12.75">
      <c r="A330">
        <f t="shared" si="6"/>
        <v>328</v>
      </c>
    </row>
    <row r="331" ht="12.75">
      <c r="A331">
        <f t="shared" si="6"/>
        <v>329</v>
      </c>
    </row>
    <row r="332" ht="12.75">
      <c r="A332">
        <f t="shared" si="6"/>
        <v>330</v>
      </c>
    </row>
    <row r="333" ht="12.75">
      <c r="A333">
        <f t="shared" si="6"/>
        <v>331</v>
      </c>
    </row>
    <row r="334" ht="12.75">
      <c r="A334">
        <f t="shared" si="6"/>
        <v>332</v>
      </c>
    </row>
    <row r="335" ht="12.75">
      <c r="A335">
        <f t="shared" si="6"/>
        <v>333</v>
      </c>
    </row>
    <row r="336" ht="12.75">
      <c r="A336">
        <f aca="true" t="shared" si="7" ref="A336:A399">A335+1</f>
        <v>334</v>
      </c>
    </row>
    <row r="337" ht="12.75">
      <c r="A337">
        <f t="shared" si="7"/>
        <v>335</v>
      </c>
    </row>
    <row r="338" ht="12.75">
      <c r="A338">
        <f t="shared" si="7"/>
        <v>336</v>
      </c>
    </row>
    <row r="339" ht="12.75">
      <c r="A339">
        <f t="shared" si="7"/>
        <v>337</v>
      </c>
    </row>
    <row r="340" ht="12.75">
      <c r="A340">
        <f t="shared" si="7"/>
        <v>338</v>
      </c>
    </row>
    <row r="341" ht="12.75">
      <c r="A341">
        <f t="shared" si="7"/>
        <v>339</v>
      </c>
    </row>
    <row r="342" ht="12.75">
      <c r="A342">
        <f t="shared" si="7"/>
        <v>340</v>
      </c>
    </row>
    <row r="343" ht="12.75">
      <c r="A343">
        <f t="shared" si="7"/>
        <v>341</v>
      </c>
    </row>
    <row r="344" ht="12.75">
      <c r="A344">
        <f t="shared" si="7"/>
        <v>342</v>
      </c>
    </row>
    <row r="345" ht="12.75">
      <c r="A345">
        <f t="shared" si="7"/>
        <v>343</v>
      </c>
    </row>
    <row r="346" ht="12.75">
      <c r="A346">
        <f t="shared" si="7"/>
        <v>344</v>
      </c>
    </row>
    <row r="347" ht="12.75">
      <c r="A347">
        <f t="shared" si="7"/>
        <v>345</v>
      </c>
    </row>
    <row r="348" ht="12.75">
      <c r="A348">
        <f t="shared" si="7"/>
        <v>346</v>
      </c>
    </row>
    <row r="349" ht="12.75">
      <c r="A349">
        <f t="shared" si="7"/>
        <v>347</v>
      </c>
    </row>
    <row r="350" ht="12.75">
      <c r="A350">
        <f t="shared" si="7"/>
        <v>348</v>
      </c>
    </row>
    <row r="351" ht="12.75">
      <c r="A351">
        <f t="shared" si="7"/>
        <v>349</v>
      </c>
    </row>
    <row r="352" ht="12.75">
      <c r="A352">
        <f t="shared" si="7"/>
        <v>350</v>
      </c>
    </row>
    <row r="353" ht="12.75">
      <c r="A353">
        <f t="shared" si="7"/>
        <v>351</v>
      </c>
    </row>
    <row r="354" ht="12.75">
      <c r="A354">
        <f t="shared" si="7"/>
        <v>352</v>
      </c>
    </row>
    <row r="355" ht="12.75">
      <c r="A355">
        <f t="shared" si="7"/>
        <v>353</v>
      </c>
    </row>
    <row r="356" ht="12.75">
      <c r="A356">
        <f t="shared" si="7"/>
        <v>354</v>
      </c>
    </row>
    <row r="357" ht="12.75">
      <c r="A357">
        <f t="shared" si="7"/>
        <v>355</v>
      </c>
    </row>
    <row r="358" ht="12.75">
      <c r="A358">
        <f t="shared" si="7"/>
        <v>356</v>
      </c>
    </row>
    <row r="359" ht="12.75">
      <c r="A359">
        <f t="shared" si="7"/>
        <v>357</v>
      </c>
    </row>
    <row r="360" ht="12.75">
      <c r="A360">
        <f t="shared" si="7"/>
        <v>358</v>
      </c>
    </row>
    <row r="361" ht="12.75">
      <c r="A361">
        <f t="shared" si="7"/>
        <v>359</v>
      </c>
    </row>
    <row r="362" ht="12.75">
      <c r="A362">
        <f t="shared" si="7"/>
        <v>360</v>
      </c>
    </row>
    <row r="363" ht="12.75">
      <c r="A363">
        <f t="shared" si="7"/>
        <v>361</v>
      </c>
    </row>
    <row r="364" ht="12.75">
      <c r="A364">
        <f t="shared" si="7"/>
        <v>362</v>
      </c>
    </row>
    <row r="365" ht="12.75">
      <c r="A365">
        <f t="shared" si="7"/>
        <v>363</v>
      </c>
    </row>
    <row r="366" ht="12.75">
      <c r="A366">
        <f t="shared" si="7"/>
        <v>364</v>
      </c>
    </row>
    <row r="367" ht="12.75">
      <c r="A367">
        <f t="shared" si="7"/>
        <v>365</v>
      </c>
    </row>
    <row r="368" ht="12.75">
      <c r="A368">
        <f t="shared" si="7"/>
        <v>366</v>
      </c>
    </row>
    <row r="369" ht="12.75">
      <c r="A369">
        <f t="shared" si="7"/>
        <v>367</v>
      </c>
    </row>
    <row r="370" ht="12.75">
      <c r="A370">
        <f t="shared" si="7"/>
        <v>368</v>
      </c>
    </row>
    <row r="371" ht="12.75">
      <c r="A371">
        <f t="shared" si="7"/>
        <v>369</v>
      </c>
    </row>
    <row r="372" ht="12.75">
      <c r="A372">
        <f t="shared" si="7"/>
        <v>370</v>
      </c>
    </row>
    <row r="373" ht="12.75">
      <c r="A373">
        <f t="shared" si="7"/>
        <v>371</v>
      </c>
    </row>
    <row r="374" ht="12.75">
      <c r="A374">
        <f t="shared" si="7"/>
        <v>372</v>
      </c>
    </row>
    <row r="375" ht="12.75">
      <c r="A375">
        <f t="shared" si="7"/>
        <v>373</v>
      </c>
    </row>
    <row r="376" ht="12.75">
      <c r="A376">
        <f t="shared" si="7"/>
        <v>374</v>
      </c>
    </row>
    <row r="377" ht="12.75">
      <c r="A377">
        <f t="shared" si="7"/>
        <v>375</v>
      </c>
    </row>
    <row r="378" ht="12.75">
      <c r="A378">
        <f t="shared" si="7"/>
        <v>376</v>
      </c>
    </row>
    <row r="379" ht="12.75">
      <c r="A379">
        <f t="shared" si="7"/>
        <v>377</v>
      </c>
    </row>
    <row r="380" ht="12.75">
      <c r="A380">
        <f t="shared" si="7"/>
        <v>378</v>
      </c>
    </row>
    <row r="381" ht="12.75">
      <c r="A381">
        <f t="shared" si="7"/>
        <v>379</v>
      </c>
    </row>
    <row r="382" ht="12.75">
      <c r="A382">
        <f t="shared" si="7"/>
        <v>380</v>
      </c>
    </row>
    <row r="383" ht="12.75">
      <c r="A383">
        <f t="shared" si="7"/>
        <v>381</v>
      </c>
    </row>
    <row r="384" ht="12.75">
      <c r="A384">
        <f t="shared" si="7"/>
        <v>382</v>
      </c>
    </row>
    <row r="385" ht="12.75">
      <c r="A385">
        <f t="shared" si="7"/>
        <v>383</v>
      </c>
    </row>
    <row r="386" ht="12.75">
      <c r="A386">
        <f t="shared" si="7"/>
        <v>384</v>
      </c>
    </row>
    <row r="387" ht="12.75">
      <c r="A387">
        <f t="shared" si="7"/>
        <v>385</v>
      </c>
    </row>
    <row r="388" ht="12.75">
      <c r="A388">
        <f t="shared" si="7"/>
        <v>386</v>
      </c>
    </row>
    <row r="389" ht="12.75">
      <c r="A389">
        <f t="shared" si="7"/>
        <v>387</v>
      </c>
    </row>
    <row r="390" ht="12.75">
      <c r="A390">
        <f t="shared" si="7"/>
        <v>388</v>
      </c>
    </row>
    <row r="391" ht="12.75">
      <c r="A391">
        <f t="shared" si="7"/>
        <v>389</v>
      </c>
    </row>
    <row r="392" ht="12.75">
      <c r="A392">
        <f t="shared" si="7"/>
        <v>390</v>
      </c>
    </row>
    <row r="393" ht="12.75">
      <c r="A393">
        <f t="shared" si="7"/>
        <v>391</v>
      </c>
    </row>
    <row r="394" ht="12.75">
      <c r="A394">
        <f t="shared" si="7"/>
        <v>392</v>
      </c>
    </row>
    <row r="395" ht="12.75">
      <c r="A395">
        <f t="shared" si="7"/>
        <v>393</v>
      </c>
    </row>
    <row r="396" ht="12.75">
      <c r="A396">
        <f t="shared" si="7"/>
        <v>394</v>
      </c>
    </row>
    <row r="397" ht="12.75">
      <c r="A397">
        <f t="shared" si="7"/>
        <v>395</v>
      </c>
    </row>
    <row r="398" ht="12.75">
      <c r="A398">
        <f t="shared" si="7"/>
        <v>396</v>
      </c>
    </row>
    <row r="399" ht="12.75">
      <c r="A399">
        <f t="shared" si="7"/>
        <v>397</v>
      </c>
    </row>
    <row r="400" ht="12.75">
      <c r="A400">
        <f aca="true" t="shared" si="8" ref="A400:A427">A399+1</f>
        <v>398</v>
      </c>
    </row>
    <row r="401" ht="12.75">
      <c r="A401">
        <f t="shared" si="8"/>
        <v>399</v>
      </c>
    </row>
    <row r="402" ht="12.75">
      <c r="A402">
        <f t="shared" si="8"/>
        <v>400</v>
      </c>
    </row>
    <row r="403" ht="12.75">
      <c r="A403">
        <f t="shared" si="8"/>
        <v>401</v>
      </c>
    </row>
    <row r="404" ht="12.75">
      <c r="A404">
        <f t="shared" si="8"/>
        <v>402</v>
      </c>
    </row>
    <row r="405" ht="12.75">
      <c r="A405">
        <f t="shared" si="8"/>
        <v>403</v>
      </c>
    </row>
    <row r="406" ht="12.75">
      <c r="A406">
        <f t="shared" si="8"/>
        <v>404</v>
      </c>
    </row>
    <row r="407" ht="12.75">
      <c r="A407">
        <f t="shared" si="8"/>
        <v>405</v>
      </c>
    </row>
    <row r="408" ht="12.75">
      <c r="A408">
        <f t="shared" si="8"/>
        <v>406</v>
      </c>
    </row>
    <row r="409" ht="12.75">
      <c r="A409">
        <f t="shared" si="8"/>
        <v>407</v>
      </c>
    </row>
    <row r="410" ht="12.75">
      <c r="A410">
        <f t="shared" si="8"/>
        <v>408</v>
      </c>
    </row>
    <row r="411" ht="12.75">
      <c r="A411">
        <f t="shared" si="8"/>
        <v>409</v>
      </c>
    </row>
    <row r="412" ht="12.75">
      <c r="A412">
        <f t="shared" si="8"/>
        <v>410</v>
      </c>
    </row>
    <row r="413" ht="12.75">
      <c r="A413">
        <f t="shared" si="8"/>
        <v>411</v>
      </c>
    </row>
    <row r="414" ht="12.75">
      <c r="A414">
        <f t="shared" si="8"/>
        <v>412</v>
      </c>
    </row>
    <row r="415" ht="12.75">
      <c r="A415">
        <f t="shared" si="8"/>
        <v>413</v>
      </c>
    </row>
    <row r="416" ht="12.75">
      <c r="A416">
        <f t="shared" si="8"/>
        <v>414</v>
      </c>
    </row>
    <row r="417" ht="12.75">
      <c r="A417">
        <f t="shared" si="8"/>
        <v>415</v>
      </c>
    </row>
    <row r="418" ht="12.75">
      <c r="A418">
        <f t="shared" si="8"/>
        <v>416</v>
      </c>
    </row>
    <row r="419" ht="12.75">
      <c r="A419">
        <f t="shared" si="8"/>
        <v>417</v>
      </c>
    </row>
    <row r="420" ht="12.75">
      <c r="A420">
        <f t="shared" si="8"/>
        <v>418</v>
      </c>
    </row>
    <row r="421" ht="12.75">
      <c r="A421">
        <f t="shared" si="8"/>
        <v>419</v>
      </c>
    </row>
    <row r="422" ht="12.75">
      <c r="A422">
        <f t="shared" si="8"/>
        <v>420</v>
      </c>
    </row>
    <row r="423" ht="12.75">
      <c r="A423">
        <f t="shared" si="8"/>
        <v>421</v>
      </c>
    </row>
    <row r="424" ht="12.75">
      <c r="A424">
        <f t="shared" si="8"/>
        <v>422</v>
      </c>
    </row>
    <row r="425" ht="12.75">
      <c r="A425">
        <f t="shared" si="8"/>
        <v>423</v>
      </c>
    </row>
    <row r="426" ht="12.75">
      <c r="A426">
        <f t="shared" si="8"/>
        <v>424</v>
      </c>
    </row>
    <row r="427" ht="12.75">
      <c r="A427">
        <f t="shared" si="8"/>
        <v>425</v>
      </c>
    </row>
    <row r="834" spans="2:5" ht="12.75">
      <c r="B834" s="14"/>
      <c r="C834" t="s">
        <v>72</v>
      </c>
      <c r="D834" t="s">
        <v>73</v>
      </c>
      <c r="E834" t="s">
        <v>160</v>
      </c>
    </row>
    <row r="835" spans="1:5" ht="12.75">
      <c r="A835">
        <v>1</v>
      </c>
      <c r="B835" t="s">
        <v>154</v>
      </c>
      <c r="E835">
        <v>50</v>
      </c>
    </row>
    <row r="836" spans="1:5" ht="12.75">
      <c r="A836">
        <f>A835+1</f>
        <v>2</v>
      </c>
      <c r="B836" s="13" t="s">
        <v>75</v>
      </c>
      <c r="C836">
        <f>21.3+0.965*Grunddata!$B$14</f>
        <v>59.900000000000006</v>
      </c>
      <c r="E836">
        <v>50</v>
      </c>
    </row>
    <row r="837" spans="1:5" ht="12.75">
      <c r="A837">
        <f aca="true" t="shared" si="9" ref="A837:A850">A836+1</f>
        <v>3</v>
      </c>
      <c r="B837" s="15" t="s">
        <v>74</v>
      </c>
      <c r="C837">
        <f>21.3+0.965*Grunddata!$B$14</f>
        <v>59.900000000000006</v>
      </c>
      <c r="E837">
        <v>50</v>
      </c>
    </row>
    <row r="838" spans="1:5" ht="12.75">
      <c r="A838">
        <f t="shared" si="9"/>
        <v>4</v>
      </c>
      <c r="B838" s="15" t="s">
        <v>92</v>
      </c>
      <c r="C838">
        <f>24.15+1.1*Grunddata!$B$14</f>
        <v>68.15</v>
      </c>
      <c r="E838">
        <v>50</v>
      </c>
    </row>
    <row r="839" spans="1:5" ht="12.75">
      <c r="A839">
        <f t="shared" si="9"/>
        <v>5</v>
      </c>
      <c r="B839" s="15" t="s">
        <v>121</v>
      </c>
      <c r="C839">
        <f>29.8+1.36*Grunddata!$B$14</f>
        <v>84.2</v>
      </c>
      <c r="E839">
        <v>50</v>
      </c>
    </row>
    <row r="840" spans="1:5" ht="12.75">
      <c r="A840">
        <f t="shared" si="9"/>
        <v>6</v>
      </c>
      <c r="B840" s="15" t="s">
        <v>155</v>
      </c>
      <c r="C840">
        <f>29.8+1.36*Grunddata!$B$14</f>
        <v>84.2</v>
      </c>
      <c r="E840">
        <v>50</v>
      </c>
    </row>
    <row r="841" spans="1:5" ht="12.75">
      <c r="A841">
        <f t="shared" si="9"/>
        <v>7</v>
      </c>
      <c r="B841" s="13" t="s">
        <v>25</v>
      </c>
      <c r="D841">
        <v>2.5</v>
      </c>
      <c r="E841">
        <v>100</v>
      </c>
    </row>
    <row r="842" spans="1:5" ht="12.75">
      <c r="A842">
        <f t="shared" si="9"/>
        <v>8</v>
      </c>
      <c r="B842" s="15" t="s">
        <v>158</v>
      </c>
      <c r="D842">
        <v>3</v>
      </c>
      <c r="E842">
        <v>50</v>
      </c>
    </row>
    <row r="843" spans="1:5" ht="12.75">
      <c r="A843">
        <f t="shared" si="9"/>
        <v>9</v>
      </c>
      <c r="B843" s="15" t="s">
        <v>159</v>
      </c>
      <c r="D843">
        <v>6</v>
      </c>
      <c r="E843">
        <v>50</v>
      </c>
    </row>
    <row r="844" spans="1:5" ht="12.75">
      <c r="A844">
        <f t="shared" si="9"/>
        <v>10</v>
      </c>
      <c r="B844" s="15" t="s">
        <v>30</v>
      </c>
      <c r="D844">
        <v>1</v>
      </c>
      <c r="E844">
        <v>50</v>
      </c>
    </row>
    <row r="845" spans="1:2" ht="12.75">
      <c r="A845">
        <f t="shared" si="9"/>
        <v>11</v>
      </c>
      <c r="B845" s="15" t="s">
        <v>233</v>
      </c>
    </row>
    <row r="846" spans="1:5" ht="12.75">
      <c r="A846">
        <f t="shared" si="9"/>
        <v>12</v>
      </c>
      <c r="B846" s="15" t="s">
        <v>93</v>
      </c>
      <c r="D846">
        <v>1</v>
      </c>
      <c r="E846">
        <v>50</v>
      </c>
    </row>
    <row r="847" spans="1:5" ht="12.75">
      <c r="A847">
        <f t="shared" si="9"/>
        <v>13</v>
      </c>
      <c r="B847" s="15" t="s">
        <v>50</v>
      </c>
      <c r="D847">
        <v>1</v>
      </c>
      <c r="E847">
        <v>50</v>
      </c>
    </row>
    <row r="848" spans="1:5" ht="12.75">
      <c r="A848">
        <f t="shared" si="9"/>
        <v>14</v>
      </c>
      <c r="B848" s="15" t="s">
        <v>56</v>
      </c>
      <c r="D848">
        <v>2</v>
      </c>
      <c r="E848">
        <v>50</v>
      </c>
    </row>
    <row r="849" spans="1:2" ht="12.75">
      <c r="A849">
        <f t="shared" si="9"/>
        <v>15</v>
      </c>
      <c r="B849" s="15" t="s">
        <v>59</v>
      </c>
    </row>
    <row r="850" ht="12.75">
      <c r="A850">
        <f t="shared" si="9"/>
        <v>16</v>
      </c>
    </row>
    <row r="851" ht="12.75">
      <c r="B851" s="16"/>
    </row>
    <row r="852" ht="12.75">
      <c r="B852" s="16"/>
    </row>
    <row r="853" ht="12.75">
      <c r="B853" s="16"/>
    </row>
    <row r="854" ht="12.75">
      <c r="B854" s="16"/>
    </row>
    <row r="855" ht="12.75">
      <c r="B855" s="16"/>
    </row>
    <row r="856" ht="12.75">
      <c r="B856" s="16"/>
    </row>
  </sheetData>
  <sheetProtection/>
  <printOptions/>
  <pageMargins left="0.75" right="0.75" top="1" bottom="1" header="0.5" footer="0.5"/>
  <pageSetup horizontalDpi="600" verticalDpi="600" orientation="portrait" paperSize="9"/>
  <legacyDrawing r:id="rId1"/>
</worksheet>
</file>

<file path=xl/worksheets/sheet11.xml><?xml version="1.0" encoding="utf-8"?>
<worksheet xmlns="http://schemas.openxmlformats.org/spreadsheetml/2006/main" xmlns:r="http://schemas.openxmlformats.org/officeDocument/2006/relationships">
  <sheetPr codeName="Sheet10"/>
  <dimension ref="A1:I28"/>
  <sheetViews>
    <sheetView zoomScalePageLayoutView="0" workbookViewId="0" topLeftCell="A1">
      <selection activeCell="I20" sqref="I20"/>
    </sheetView>
  </sheetViews>
  <sheetFormatPr defaultColWidth="8.8515625" defaultRowHeight="12.75"/>
  <cols>
    <col min="1" max="1" width="26.421875" style="0" customWidth="1"/>
    <col min="2" max="7" width="8.8515625" style="0" customWidth="1"/>
    <col min="8" max="8" width="20.00390625" style="0" customWidth="1"/>
  </cols>
  <sheetData>
    <row r="1" ht="12.75">
      <c r="A1" t="s">
        <v>190</v>
      </c>
    </row>
    <row r="2" spans="1:8" ht="90.75">
      <c r="A2" s="38" t="s">
        <v>191</v>
      </c>
      <c r="H2" s="38" t="s">
        <v>244</v>
      </c>
    </row>
    <row r="4" spans="1:9" ht="12.75">
      <c r="A4" t="s">
        <v>192</v>
      </c>
      <c r="C4" t="s">
        <v>193</v>
      </c>
      <c r="I4" t="s">
        <v>193</v>
      </c>
    </row>
    <row r="5" spans="1:9" ht="12.75">
      <c r="A5" s="54"/>
      <c r="B5" s="54"/>
      <c r="C5" s="1" t="s">
        <v>194</v>
      </c>
      <c r="D5" s="54" t="s">
        <v>195</v>
      </c>
      <c r="E5" s="54" t="s">
        <v>196</v>
      </c>
      <c r="F5" s="54"/>
      <c r="H5" s="66" t="s">
        <v>245</v>
      </c>
      <c r="I5">
        <v>0.07</v>
      </c>
    </row>
    <row r="6" spans="1:9" ht="12.75">
      <c r="A6" t="s">
        <v>197</v>
      </c>
      <c r="B6" t="s">
        <v>198</v>
      </c>
      <c r="C6" s="55">
        <v>0.65</v>
      </c>
      <c r="D6">
        <v>0.5</v>
      </c>
      <c r="E6">
        <v>0.7</v>
      </c>
      <c r="H6" s="66" t="s">
        <v>246</v>
      </c>
      <c r="I6">
        <v>0.01</v>
      </c>
    </row>
    <row r="7" spans="2:9" ht="12.75">
      <c r="B7" t="s">
        <v>199</v>
      </c>
      <c r="C7" s="56">
        <v>1.25</v>
      </c>
      <c r="D7">
        <v>0.9</v>
      </c>
      <c r="E7">
        <v>1.4</v>
      </c>
      <c r="H7" s="66" t="s">
        <v>247</v>
      </c>
      <c r="I7">
        <v>0.19</v>
      </c>
    </row>
    <row r="8" spans="2:9" ht="12.75">
      <c r="B8" t="s">
        <v>200</v>
      </c>
      <c r="C8" s="56">
        <v>1.9</v>
      </c>
      <c r="D8">
        <v>1.4</v>
      </c>
      <c r="E8">
        <v>2.1</v>
      </c>
      <c r="H8" s="66" t="s">
        <v>248</v>
      </c>
      <c r="I8">
        <v>0.99</v>
      </c>
    </row>
    <row r="9" spans="1:9" ht="12.75">
      <c r="A9" t="s">
        <v>201</v>
      </c>
      <c r="B9" t="s">
        <v>198</v>
      </c>
      <c r="C9" s="56">
        <v>0.4</v>
      </c>
      <c r="D9">
        <v>0.3</v>
      </c>
      <c r="E9">
        <v>0.5</v>
      </c>
      <c r="H9" s="66" t="s">
        <v>249</v>
      </c>
      <c r="I9">
        <v>0.62</v>
      </c>
    </row>
    <row r="10" spans="2:9" ht="12.75">
      <c r="B10" t="s">
        <v>199</v>
      </c>
      <c r="C10" s="56">
        <v>0.75</v>
      </c>
      <c r="D10">
        <v>0.5</v>
      </c>
      <c r="E10">
        <v>0.9</v>
      </c>
      <c r="H10" s="66" t="s">
        <v>250</v>
      </c>
      <c r="I10">
        <v>0.59</v>
      </c>
    </row>
    <row r="11" spans="2:9" ht="12.75">
      <c r="B11" t="s">
        <v>200</v>
      </c>
      <c r="C11" s="56">
        <v>1.15</v>
      </c>
      <c r="D11">
        <v>0.75</v>
      </c>
      <c r="E11">
        <v>1.4</v>
      </c>
      <c r="H11" s="66" t="s">
        <v>251</v>
      </c>
      <c r="I11">
        <v>0.34</v>
      </c>
    </row>
    <row r="12" spans="1:9" ht="12.75">
      <c r="A12" t="s">
        <v>202</v>
      </c>
      <c r="B12" t="s">
        <v>198</v>
      </c>
      <c r="C12" s="56">
        <v>0.4</v>
      </c>
      <c r="D12">
        <v>0.3</v>
      </c>
      <c r="E12">
        <v>0.5</v>
      </c>
      <c r="H12" s="66" t="s">
        <v>252</v>
      </c>
      <c r="I12">
        <v>0.55</v>
      </c>
    </row>
    <row r="13" spans="2:9" ht="12.75">
      <c r="B13" t="s">
        <v>199</v>
      </c>
      <c r="C13" s="56">
        <v>0.75</v>
      </c>
      <c r="D13">
        <v>0.5</v>
      </c>
      <c r="E13">
        <v>0.9</v>
      </c>
      <c r="H13" s="66" t="s">
        <v>75</v>
      </c>
      <c r="I13">
        <v>1.35</v>
      </c>
    </row>
    <row r="14" spans="2:9" ht="12.75">
      <c r="B14" t="s">
        <v>200</v>
      </c>
      <c r="C14" s="56">
        <v>1.15</v>
      </c>
      <c r="D14">
        <v>0.75</v>
      </c>
      <c r="E14">
        <v>1.4</v>
      </c>
      <c r="H14" s="66" t="s">
        <v>253</v>
      </c>
      <c r="I14">
        <v>1.23</v>
      </c>
    </row>
    <row r="15" spans="3:9" ht="12.75">
      <c r="C15" s="56"/>
      <c r="H15" s="66" t="s">
        <v>74</v>
      </c>
      <c r="I15">
        <v>0.4</v>
      </c>
    </row>
    <row r="16" spans="1:9" ht="12.75">
      <c r="A16" t="s">
        <v>203</v>
      </c>
      <c r="C16" s="56">
        <v>0.75</v>
      </c>
      <c r="D16">
        <v>0.4</v>
      </c>
      <c r="E16">
        <v>1.1</v>
      </c>
      <c r="H16" s="66" t="s">
        <v>205</v>
      </c>
      <c r="I16">
        <v>0.33</v>
      </c>
    </row>
    <row r="17" spans="1:9" ht="12.75">
      <c r="A17" t="s">
        <v>204</v>
      </c>
      <c r="C17" s="56">
        <v>2.9</v>
      </c>
      <c r="D17">
        <v>1.7</v>
      </c>
      <c r="E17">
        <v>3.2</v>
      </c>
      <c r="H17" s="66" t="s">
        <v>254</v>
      </c>
      <c r="I17">
        <v>0.52</v>
      </c>
    </row>
    <row r="18" spans="1:9" ht="12.75">
      <c r="A18" t="s">
        <v>205</v>
      </c>
      <c r="C18" s="56"/>
      <c r="H18" s="66" t="s">
        <v>213</v>
      </c>
      <c r="I18">
        <v>0.4</v>
      </c>
    </row>
    <row r="19" spans="3:9" ht="12.75">
      <c r="C19" s="56"/>
      <c r="H19" s="66" t="s">
        <v>208</v>
      </c>
      <c r="I19">
        <v>0.4</v>
      </c>
    </row>
    <row r="20" spans="1:9" ht="12.75">
      <c r="A20" t="s">
        <v>206</v>
      </c>
      <c r="C20" s="56">
        <v>1.4</v>
      </c>
      <c r="D20">
        <v>1</v>
      </c>
      <c r="E20">
        <v>1.65</v>
      </c>
      <c r="H20" s="66" t="s">
        <v>255</v>
      </c>
      <c r="I20">
        <v>1.38</v>
      </c>
    </row>
    <row r="21" spans="1:9" ht="12.75">
      <c r="A21" t="s">
        <v>207</v>
      </c>
      <c r="C21" s="56">
        <v>0.5</v>
      </c>
      <c r="D21">
        <v>0.3</v>
      </c>
      <c r="E21">
        <v>0.6</v>
      </c>
      <c r="H21" s="66" t="s">
        <v>256</v>
      </c>
      <c r="I21">
        <v>0.57</v>
      </c>
    </row>
    <row r="22" spans="1:9" ht="12.75">
      <c r="A22" t="s">
        <v>208</v>
      </c>
      <c r="C22" s="56">
        <v>0.5</v>
      </c>
      <c r="D22">
        <v>0.3</v>
      </c>
      <c r="E22">
        <v>0.7</v>
      </c>
      <c r="H22" s="66" t="s">
        <v>257</v>
      </c>
      <c r="I22">
        <v>1.66</v>
      </c>
    </row>
    <row r="23" spans="1:9" ht="12.75">
      <c r="A23" t="s">
        <v>209</v>
      </c>
      <c r="C23" s="56">
        <v>0.9</v>
      </c>
      <c r="H23" s="66" t="s">
        <v>258</v>
      </c>
      <c r="I23">
        <v>0.8</v>
      </c>
    </row>
    <row r="24" ht="12.75">
      <c r="C24" s="56"/>
    </row>
    <row r="25" spans="3:5" ht="12.75">
      <c r="C25" s="56"/>
      <c r="D25" t="s">
        <v>210</v>
      </c>
      <c r="E25" t="s">
        <v>211</v>
      </c>
    </row>
    <row r="26" ht="12.75">
      <c r="C26" s="56"/>
    </row>
    <row r="27" spans="1:5" ht="12.75">
      <c r="A27" t="s">
        <v>212</v>
      </c>
      <c r="C27" s="56">
        <v>1.45</v>
      </c>
      <c r="D27">
        <v>0.75</v>
      </c>
      <c r="E27">
        <v>1.65</v>
      </c>
    </row>
    <row r="28" spans="1:5" ht="12.75">
      <c r="A28" t="s">
        <v>213</v>
      </c>
      <c r="C28" s="56">
        <v>0.45</v>
      </c>
      <c r="D28">
        <v>0.2</v>
      </c>
      <c r="E28">
        <v>0.55</v>
      </c>
    </row>
  </sheetData>
  <sheetProtection/>
  <printOptions/>
  <pageMargins left="0.75" right="0.75" top="1" bottom="1" header="0.5" footer="0.5"/>
  <pageSetup orientation="portrait" paperSize="3"/>
</worksheet>
</file>

<file path=xl/worksheets/sheet2.xml><?xml version="1.0" encoding="utf-8"?>
<worksheet xmlns="http://schemas.openxmlformats.org/spreadsheetml/2006/main" xmlns:r="http://schemas.openxmlformats.org/officeDocument/2006/relationships">
  <sheetPr codeName="Sheet3"/>
  <dimension ref="A2:B19"/>
  <sheetViews>
    <sheetView zoomScalePageLayoutView="0" workbookViewId="0" topLeftCell="A1">
      <selection activeCell="B5" sqref="B5"/>
    </sheetView>
  </sheetViews>
  <sheetFormatPr defaultColWidth="8.8515625" defaultRowHeight="12.75"/>
  <cols>
    <col min="1" max="1" width="46.28125" style="17" customWidth="1"/>
  </cols>
  <sheetData>
    <row r="1" ht="12.75"/>
    <row r="2" ht="18">
      <c r="A2" s="34" t="s">
        <v>156</v>
      </c>
    </row>
    <row r="3" ht="12.75">
      <c r="A3" s="35" t="s">
        <v>162</v>
      </c>
    </row>
    <row r="4" spans="1:2" ht="12.75">
      <c r="A4" s="33" t="s">
        <v>3</v>
      </c>
      <c r="B4" s="39">
        <v>5</v>
      </c>
    </row>
    <row r="5" spans="1:2" ht="12.75">
      <c r="A5" s="33" t="s">
        <v>218</v>
      </c>
      <c r="B5" s="39">
        <v>180</v>
      </c>
    </row>
    <row r="6" spans="1:2" ht="12.75">
      <c r="A6" s="33" t="s">
        <v>219</v>
      </c>
      <c r="B6" s="39">
        <v>6</v>
      </c>
    </row>
    <row r="7" spans="1:2" ht="12.75">
      <c r="A7" s="33" t="s">
        <v>6</v>
      </c>
      <c r="B7" s="39">
        <v>50</v>
      </c>
    </row>
    <row r="8" spans="1:2" ht="12.75">
      <c r="A8" s="33" t="s">
        <v>175</v>
      </c>
      <c r="B8" s="39">
        <v>7</v>
      </c>
    </row>
    <row r="9" spans="1:2" ht="12.75">
      <c r="A9" s="17" t="s">
        <v>232</v>
      </c>
      <c r="B9" s="39">
        <v>8</v>
      </c>
    </row>
    <row r="10" spans="1:2" ht="12.75">
      <c r="A10" s="17" t="s">
        <v>231</v>
      </c>
      <c r="B10" s="39">
        <v>10</v>
      </c>
    </row>
    <row r="11" spans="1:2" ht="12.75">
      <c r="A11" s="17" t="s">
        <v>230</v>
      </c>
      <c r="B11" s="39">
        <v>85</v>
      </c>
    </row>
    <row r="12" ht="12.75">
      <c r="B12" s="39"/>
    </row>
    <row r="13" spans="1:2" ht="12.75">
      <c r="A13" s="35" t="s">
        <v>163</v>
      </c>
      <c r="B13" s="39"/>
    </row>
    <row r="14" spans="1:2" ht="12.75">
      <c r="A14" s="31" t="s">
        <v>164</v>
      </c>
      <c r="B14" s="39">
        <v>40</v>
      </c>
    </row>
    <row r="15" spans="1:2" ht="12.75">
      <c r="A15" s="31" t="s">
        <v>168</v>
      </c>
      <c r="B15" s="39">
        <v>40</v>
      </c>
    </row>
    <row r="16" spans="1:2" ht="12.75">
      <c r="A16" s="17" t="s">
        <v>165</v>
      </c>
      <c r="B16" s="39">
        <v>33</v>
      </c>
    </row>
    <row r="17" spans="1:2" ht="12.75">
      <c r="A17" s="17" t="s">
        <v>166</v>
      </c>
      <c r="B17" s="39">
        <v>20</v>
      </c>
    </row>
    <row r="18" spans="1:2" ht="12.75">
      <c r="A18" s="17" t="s">
        <v>167</v>
      </c>
      <c r="B18" s="39">
        <v>0.1</v>
      </c>
    </row>
    <row r="19" spans="1:2" ht="12.75">
      <c r="A19" s="17" t="s">
        <v>169</v>
      </c>
      <c r="B19" s="39">
        <v>90</v>
      </c>
    </row>
    <row r="20" ht="12.75"/>
    <row r="22" ht="12.75"/>
    <row r="23" ht="12.75"/>
    <row r="24" ht="12.75"/>
  </sheetData>
  <sheetProtection password="CF57" sheet="1" objects="1" scenarios="1" selectLockedCells="1"/>
  <printOptions/>
  <pageMargins left="0.75" right="0.75" top="1" bottom="1" header="0.5" footer="0.5"/>
  <pageSetup horizontalDpi="600" verticalDpi="600" orientation="portrait" paperSize="9"/>
  <legacyDrawing r:id="rId2"/>
</worksheet>
</file>

<file path=xl/worksheets/sheet3.xml><?xml version="1.0" encoding="utf-8"?>
<worksheet xmlns="http://schemas.openxmlformats.org/spreadsheetml/2006/main" xmlns:r="http://schemas.openxmlformats.org/officeDocument/2006/relationships">
  <sheetPr codeName="Sheet4"/>
  <dimension ref="A1:J27"/>
  <sheetViews>
    <sheetView zoomScalePageLayoutView="0" workbookViewId="0" topLeftCell="A1">
      <selection activeCell="B14" sqref="B14"/>
    </sheetView>
  </sheetViews>
  <sheetFormatPr defaultColWidth="8.8515625" defaultRowHeight="12.75"/>
  <cols>
    <col min="1" max="1" width="29.140625" style="0" customWidth="1"/>
    <col min="2" max="7" width="16.7109375" style="0" customWidth="1"/>
    <col min="8" max="8" width="19.00390625" style="0" hidden="1" customWidth="1"/>
    <col min="9" max="10" width="9.140625" style="0" hidden="1" customWidth="1"/>
  </cols>
  <sheetData>
    <row r="1" spans="1:9" ht="18">
      <c r="A1" s="34" t="s">
        <v>153</v>
      </c>
      <c r="H1" t="s">
        <v>149</v>
      </c>
      <c r="I1" t="s">
        <v>150</v>
      </c>
    </row>
    <row r="2" spans="1:10" ht="12.75">
      <c r="A2" s="31" t="s">
        <v>13</v>
      </c>
      <c r="B2" s="1" t="s">
        <v>131</v>
      </c>
      <c r="C2" t="s">
        <v>132</v>
      </c>
      <c r="D2" t="s">
        <v>133</v>
      </c>
      <c r="E2" t="s">
        <v>134</v>
      </c>
      <c r="F2" t="s">
        <v>260</v>
      </c>
      <c r="G2" t="s">
        <v>261</v>
      </c>
      <c r="H2">
        <v>0</v>
      </c>
      <c r="I2">
        <v>0</v>
      </c>
      <c r="J2">
        <v>0</v>
      </c>
    </row>
    <row r="3" spans="1:10" ht="17.25" customHeight="1">
      <c r="A3" s="26" t="s">
        <v>2</v>
      </c>
      <c r="B3" s="11">
        <v>4</v>
      </c>
      <c r="C3" s="39">
        <v>1</v>
      </c>
      <c r="D3" s="39">
        <v>1</v>
      </c>
      <c r="E3" s="39">
        <v>1</v>
      </c>
      <c r="F3" s="39">
        <v>1</v>
      </c>
      <c r="G3" s="39">
        <v>1</v>
      </c>
      <c r="H3">
        <v>1</v>
      </c>
      <c r="I3">
        <f>B23</f>
        <v>342.5414590616879</v>
      </c>
      <c r="J3">
        <f>B5</f>
        <v>6000</v>
      </c>
    </row>
    <row r="4" spans="1:10" ht="17.25" customHeight="1">
      <c r="A4" s="26" t="s">
        <v>151</v>
      </c>
      <c r="B4" s="11"/>
      <c r="C4" s="39"/>
      <c r="D4" s="39"/>
      <c r="E4" s="39"/>
      <c r="F4" s="39"/>
      <c r="G4" s="39"/>
      <c r="H4">
        <v>2</v>
      </c>
      <c r="I4" s="23">
        <f>C23</f>
        <v>0</v>
      </c>
      <c r="J4">
        <f>C5</f>
        <v>0</v>
      </c>
    </row>
    <row r="5" spans="1:10" ht="17.25" customHeight="1">
      <c r="A5" s="26" t="s">
        <v>161</v>
      </c>
      <c r="B5" s="11">
        <v>6000</v>
      </c>
      <c r="C5" s="39">
        <f>VLOOKUP(C3,Traktordata!A1:F50,4)</f>
        <v>0</v>
      </c>
      <c r="D5" s="39">
        <f>VLOOKUP(D3,Traktordata!A2:F51,4)</f>
        <v>0</v>
      </c>
      <c r="E5" s="39">
        <f>VLOOKUP(E3,Traktordata!A1:F50,4)</f>
        <v>0</v>
      </c>
      <c r="F5" s="39">
        <f>VLOOKUP(F3,Traktordata!A2:F51,4)</f>
        <v>0</v>
      </c>
      <c r="G5" s="39">
        <f>VLOOKUP(G3,Traktordata!A2:F51,4)</f>
        <v>0</v>
      </c>
      <c r="H5">
        <v>3</v>
      </c>
      <c r="I5" s="23">
        <f>D23</f>
        <v>0</v>
      </c>
      <c r="J5">
        <f>D5</f>
        <v>0</v>
      </c>
    </row>
    <row r="6" spans="1:10" ht="17.25" customHeight="1">
      <c r="A6" s="26" t="s">
        <v>217</v>
      </c>
      <c r="B6" s="40">
        <f>VLOOKUP(B3,Traktordata!A1:F50,3)</f>
        <v>99.36</v>
      </c>
      <c r="C6" s="42">
        <f>VLOOKUP(C3,Traktordata!A1:F50,3)</f>
        <v>0</v>
      </c>
      <c r="D6" s="42">
        <f>VLOOKUP(D3,Traktordata!A2:F51,3)</f>
        <v>0</v>
      </c>
      <c r="E6" s="42">
        <f>VLOOKUP(E3,Traktordata!A1:F50,3)</f>
        <v>0</v>
      </c>
      <c r="F6" s="42">
        <f>VLOOKUP(F3,Traktordata!A2:F51,3)</f>
        <v>0</v>
      </c>
      <c r="G6" s="42">
        <f>VLOOKUP(G3,Traktordata!A2:F51,3)</f>
        <v>0</v>
      </c>
      <c r="H6">
        <v>4</v>
      </c>
      <c r="I6" s="23">
        <f>E23</f>
        <v>0</v>
      </c>
      <c r="J6">
        <f>E5</f>
        <v>0</v>
      </c>
    </row>
    <row r="7" spans="1:10" ht="12.75">
      <c r="A7" s="26" t="s">
        <v>124</v>
      </c>
      <c r="B7" s="39">
        <v>600000</v>
      </c>
      <c r="C7" s="39">
        <f>VLOOKUP(C3,Traktordata!A1:F50,6)</f>
        <v>0</v>
      </c>
      <c r="D7" s="39">
        <f>VLOOKUP(D3,Traktordata!A2:F51,6)</f>
        <v>0</v>
      </c>
      <c r="E7" s="39">
        <f>VLOOKUP(E3,Traktordata!A1:F50,6)</f>
        <v>0</v>
      </c>
      <c r="F7" s="39">
        <f>VLOOKUP(F3,Traktordata!A2:F51,6)</f>
        <v>0</v>
      </c>
      <c r="G7" s="39">
        <f>VLOOKUP(G3,Traktordata!A2:F51,6)</f>
        <v>0</v>
      </c>
      <c r="H7">
        <v>5</v>
      </c>
      <c r="I7" s="23">
        <f>F23</f>
        <v>0</v>
      </c>
      <c r="J7">
        <f>F5</f>
        <v>0</v>
      </c>
    </row>
    <row r="8" spans="1:10" ht="12.75" customHeight="1">
      <c r="A8" s="26" t="s">
        <v>125</v>
      </c>
      <c r="B8" s="41">
        <v>0</v>
      </c>
      <c r="C8" s="42"/>
      <c r="D8" s="42">
        <v>0</v>
      </c>
      <c r="E8" s="42">
        <v>0</v>
      </c>
      <c r="F8" s="39"/>
      <c r="G8" s="42">
        <v>0</v>
      </c>
      <c r="H8">
        <v>6</v>
      </c>
      <c r="I8" s="23">
        <f>G23</f>
        <v>0</v>
      </c>
      <c r="J8" s="23">
        <f>G5</f>
        <v>0</v>
      </c>
    </row>
    <row r="9" spans="1:7" ht="12.75">
      <c r="A9" s="26" t="s">
        <v>123</v>
      </c>
      <c r="B9" s="41">
        <v>8</v>
      </c>
      <c r="C9" s="42">
        <v>0</v>
      </c>
      <c r="D9" s="42">
        <v>0</v>
      </c>
      <c r="E9" s="42"/>
      <c r="F9" s="39"/>
      <c r="G9" s="39"/>
    </row>
    <row r="10" spans="1:7" ht="12.75">
      <c r="A10" s="31" t="s">
        <v>0</v>
      </c>
      <c r="B10" s="67">
        <f>IF(B8&gt;0,Grunddata!$B11/100*B8*((100-Grunddata!$B9)/100)^B9,Grunddata!$B11/100*B7*((100-Grunddata!$B9)/100)^B9)</f>
        <v>261741.6253001565</v>
      </c>
      <c r="C10" s="67">
        <f>IF(C8&gt;0,Grunddata!$B11/100*C8*((100-Grunddata!$B9)/100)^C9,Grunddata!$B11/100*C7*((100-Grunddata!$B9)/100)^C9)</f>
        <v>0</v>
      </c>
      <c r="D10" s="67">
        <f>IF(D8&gt;0,Grunddata!$B11/100*D8*((100-Grunddata!$B9)/100)^D9,Grunddata!$B11/100*D7*((100-Grunddata!$B9)/100)^D9)</f>
        <v>0</v>
      </c>
      <c r="E10" s="67">
        <f>IF(E8&gt;0,Grunddata!$B11/100*E8*((100-Grunddata!$B9)/100)^E9,Grunddata!$B11/100*E7*((100-Grunddata!$B9)/100)^E9)</f>
        <v>0</v>
      </c>
      <c r="F10" s="67">
        <f>IF(F8&gt;0,Grunddata!$B11/100*F8*((100-Grunddata!$B9)/100)^F9,Grunddata!$B11/100*F7*((100-Grunddata!$B9)/100)^F9)</f>
        <v>0</v>
      </c>
      <c r="G10" s="67">
        <f>IF(G8&gt;0,Grunddata!$B11/100*G8*((100-Grunddata!$B9)/100)^G9,Grunddata!$B11/100*G7*((100-Grunddata!$B9)/100)^G9)</f>
        <v>0</v>
      </c>
    </row>
    <row r="11" spans="1:7" ht="12.75">
      <c r="A11" s="31" t="s">
        <v>128</v>
      </c>
      <c r="B11" s="67">
        <f>SUM(IF(Redskapskalkyl!$B22=1,Redskapskalkyl!$B16,0),IF(Redskapskalkyl!$C22=1,Redskapskalkyl!$C16,0),IF(Redskapskalkyl!$D22=1,Redskapskalkyl!$D16,0),IF(Redskapskalkyl!$E22=1,Redskapskalkyl!$E16,0),IF(Redskapskalkyl!$F22=1,Redskapskalkyl!$F16,0),IF(Redskapskalkyl!$G22=1,Redskapskalkyl!$G16,0),IF(Redskapskalkyl!$H22=1,Redskapskalkyl!$H16,0),IF(Redskapskalkyl!$J22=1,Redskapskalkyl!$J16,0),IF(Redskapskalkyl!$K22=1,Redskapskalkyl!$K16,0),IF(Redskapskalkyl!$L22=1,Redskapskalkyl!$L16,0),IF(Redskapskalkyl!$M22=1,Redskapskalkyl!$M16,0),IF(Redskapskalkyl!$N22=1,Redskapskalkyl!$N16,0),IF(Redskapskalkyl!$O22=1,Redskapskalkyl!$O16,0),IF(Redskapskalkyl!$P22=1,Redskapskalkyl!$P16,0))</f>
        <v>217.01388888888889</v>
      </c>
      <c r="C11" s="67">
        <f>SUM(IF(Redskapskalkyl!$B22=2,Redskapskalkyl!$B16,0),IF(Redskapskalkyl!$C22=2,Redskapskalkyl!$C16,0),IF(Redskapskalkyl!$D22=2,Redskapskalkyl!$D16,0),IF(Redskapskalkyl!$E22=2,Redskapskalkyl!$E16,0),IF(Redskapskalkyl!$F22=2,Redskapskalkyl!$F16,0),IF(Redskapskalkyl!$G22=2,Redskapskalkyl!$G16,0),IF(Redskapskalkyl!$H22=2,Redskapskalkyl!$H16,0),IF(Redskapskalkyl!$J22=2,Redskapskalkyl!$J16,0),IF(Redskapskalkyl!$K22=2,Redskapskalkyl!$K16,0),IF(Redskapskalkyl!$L22=2,Redskapskalkyl!$L16,0),IF(Redskapskalkyl!$M22=2,Redskapskalkyl!$M16,0),IF(Redskapskalkyl!$N22=2,Redskapskalkyl!$N16,0),IF(Redskapskalkyl!$O22=2,Redskapskalkyl!$O16,0),IF(Redskapskalkyl!$P22=2,Redskapskalkyl!$P16,0))</f>
        <v>0</v>
      </c>
      <c r="D11" s="67">
        <f>SUM(IF(Redskapskalkyl!$B22=3,Redskapskalkyl!$B16,0),IF(Redskapskalkyl!$C22=3,Redskapskalkyl!$C16,0),IF(Redskapskalkyl!$D22=3,Redskapskalkyl!$D16,0),IF(Redskapskalkyl!$E22=3,Redskapskalkyl!$E16,0),IF(Redskapskalkyl!$F22=3,Redskapskalkyl!$F16,0),IF(Redskapskalkyl!$G22=3,Redskapskalkyl!$G16,0),IF(Redskapskalkyl!$H22=3,Redskapskalkyl!$H16,0),IF(Redskapskalkyl!$J22=3,Redskapskalkyl!$J16,0),IF(Redskapskalkyl!$K22=3,Redskapskalkyl!$K16,0),IF(Redskapskalkyl!$L22=3,Redskapskalkyl!$L16,0),IF(Redskapskalkyl!$M22=3,Redskapskalkyl!$M16,0),IF(Redskapskalkyl!$N22=3,Redskapskalkyl!$N16,0),IF(Redskapskalkyl!$O22=3,Redskapskalkyl!$O16,0),IF(Redskapskalkyl!$P22=3,Redskapskalkyl!$P16,0))</f>
        <v>0</v>
      </c>
      <c r="E11" s="67">
        <f>SUM(IF(Redskapskalkyl!$B22=4,Redskapskalkyl!$B16,0),IF(Redskapskalkyl!$C22=4,Redskapskalkyl!$C16,0),IF(Redskapskalkyl!$D22=4,Redskapskalkyl!$D16,0),IF(Redskapskalkyl!$E22=4,Redskapskalkyl!$E16,0),IF(Redskapskalkyl!$F22=4,Redskapskalkyl!$F16,0),IF(Redskapskalkyl!$G22=4,Redskapskalkyl!$G16,0),IF(Redskapskalkyl!$H22=4,Redskapskalkyl!$H16,0),IF(Redskapskalkyl!$J22=4,Redskapskalkyl!$J16,0),IF(Redskapskalkyl!$K22=4,Redskapskalkyl!$K16,0),IF(Redskapskalkyl!$L22=4,Redskapskalkyl!$L16,0),IF(Redskapskalkyl!$M22=4,Redskapskalkyl!$M16,0),IF(Redskapskalkyl!$N22=4,Redskapskalkyl!$N16,0),IF(Redskapskalkyl!$O22=4,Redskapskalkyl!$O16,0),IF(Redskapskalkyl!$P22=4,Redskapskalkyl!$P16,0))</f>
        <v>0</v>
      </c>
      <c r="F11" s="67">
        <f>SUM(IF(Redskapskalkyl!$B22=4,Redskapskalkyl!$B16,0),IF(Redskapskalkyl!$C22=5,Redskapskalkyl!$C16,0),IF(Redskapskalkyl!$D22=5,Redskapskalkyl!$D16,0),IF(Redskapskalkyl!$E22=5,Redskapskalkyl!$E16,0),IF(Redskapskalkyl!$F22=5,Redskapskalkyl!$F16,0),IF(Redskapskalkyl!$G22=5,Redskapskalkyl!$G16,0),IF(Redskapskalkyl!$H22=5,Redskapskalkyl!$H16,0),IF(Redskapskalkyl!$J22=5,Redskapskalkyl!$J16,0),IF(Redskapskalkyl!$K22=5,Redskapskalkyl!$K16,0),IF(Redskapskalkyl!$L22=5,Redskapskalkyl!$L16,0),IF(Redskapskalkyl!$M22=5,Redskapskalkyl!$M16,0),IF(Redskapskalkyl!$N22=5,Redskapskalkyl!$N16,0),IF(Redskapskalkyl!$O22=5,Redskapskalkyl!$O16,0),IF(Redskapskalkyl!$P22=5,Redskapskalkyl!$P16,0))</f>
        <v>0</v>
      </c>
      <c r="G11" s="67">
        <f>SUM(IF(Redskapskalkyl!$B22=6,Redskapskalkyl!$B16,0),IF(Redskapskalkyl!$C22=6,Redskapskalkyl!$C16,0),IF(Redskapskalkyl!$D22=6,Redskapskalkyl!$D16,0),IF(Redskapskalkyl!$E22=6,Redskapskalkyl!$E16,0),IF(Redskapskalkyl!$F22=6,Redskapskalkyl!$F16,0),IF(Redskapskalkyl!$G22=6,Redskapskalkyl!$G16,0),IF(Redskapskalkyl!$H22=6,Redskapskalkyl!$H16,0),IF(Redskapskalkyl!$J22=6,Redskapskalkyl!$J16,0),IF(Redskapskalkyl!$K22=6,Redskapskalkyl!$K16,0),IF(Redskapskalkyl!$L22=6,Redskapskalkyl!$L16,0),IF(Redskapskalkyl!$M22=6,Redskapskalkyl!$M16,0),IF(Redskapskalkyl!$N22=4,Redskapskalkyl!$N16,0),IF(Redskapskalkyl!$O22=4,Redskapskalkyl!$O16,0),IF(Redskapskalkyl!$P22=6,Redskapskalkyl!$P16,0))</f>
        <v>0</v>
      </c>
    </row>
    <row r="12" spans="1:7" ht="12.75">
      <c r="A12" s="31" t="s">
        <v>182</v>
      </c>
      <c r="B12" s="41">
        <v>0</v>
      </c>
      <c r="C12" s="41">
        <v>50</v>
      </c>
      <c r="D12" s="41"/>
      <c r="E12" s="41"/>
      <c r="F12" s="41"/>
      <c r="G12" s="41"/>
    </row>
    <row r="13" spans="1:7" ht="12.75">
      <c r="A13" s="31" t="s">
        <v>283</v>
      </c>
      <c r="B13" s="41">
        <v>20</v>
      </c>
      <c r="C13" s="41">
        <v>25</v>
      </c>
      <c r="D13" s="41"/>
      <c r="E13" s="41"/>
      <c r="F13" s="41"/>
      <c r="G13" s="41"/>
    </row>
    <row r="14" spans="1:7" ht="12.75">
      <c r="A14" s="27" t="s">
        <v>5</v>
      </c>
      <c r="B14" s="43">
        <v>0.05</v>
      </c>
      <c r="C14" s="43">
        <v>0.05</v>
      </c>
      <c r="D14" s="43">
        <v>0.05</v>
      </c>
      <c r="E14" s="43">
        <v>0.05</v>
      </c>
      <c r="F14" s="43">
        <v>0.05</v>
      </c>
      <c r="G14" s="43">
        <v>0.05</v>
      </c>
    </row>
    <row r="15" spans="1:7" ht="12.75">
      <c r="A15" s="31" t="s">
        <v>1</v>
      </c>
      <c r="B15" s="40">
        <v>20</v>
      </c>
      <c r="C15" s="40">
        <v>20</v>
      </c>
      <c r="D15" s="40"/>
      <c r="E15" s="40"/>
      <c r="F15" s="40"/>
      <c r="G15" s="40"/>
    </row>
    <row r="16" spans="1:7" ht="12.75">
      <c r="A16" s="32" t="s">
        <v>7</v>
      </c>
      <c r="B16" s="22"/>
      <c r="C16" s="23"/>
      <c r="D16" s="23"/>
      <c r="E16" s="23"/>
      <c r="F16" s="23"/>
      <c r="G16" s="23"/>
    </row>
    <row r="17" spans="1:7" ht="12.75">
      <c r="A17" s="31" t="s">
        <v>8</v>
      </c>
      <c r="B17" s="30">
        <f aca="true" t="shared" si="0" ref="B17:G17">IF(B9&gt;0,IF(B8&gt;0,(B8-B10)/B9,(B7-B10)/B9),0)</f>
        <v>42282.29683748043</v>
      </c>
      <c r="C17" s="30">
        <f t="shared" si="0"/>
        <v>0</v>
      </c>
      <c r="D17" s="30">
        <f t="shared" si="0"/>
        <v>0</v>
      </c>
      <c r="E17" s="30">
        <f t="shared" si="0"/>
        <v>0</v>
      </c>
      <c r="F17" s="30">
        <f t="shared" si="0"/>
        <v>0</v>
      </c>
      <c r="G17" s="30">
        <f t="shared" si="0"/>
        <v>0</v>
      </c>
    </row>
    <row r="18" spans="1:7" ht="12.75">
      <c r="A18" s="31" t="s">
        <v>9</v>
      </c>
      <c r="B18" s="30">
        <f>IF(B9&gt;0,IF(B8&gt;0,Grunddata!$B4*(B8+B10)/200,Grunddata!$B4*(B7+B10)/200),0)</f>
        <v>21543.54063250391</v>
      </c>
      <c r="C18" s="30">
        <f>IF(C9&gt;0,IF(C8&gt;0,Grunddata!$B4*(C8+C10)/200,Grunddata!$B4*(C7+C10)/200),0)</f>
        <v>0</v>
      </c>
      <c r="D18" s="30">
        <f>IF(D9&gt;0,IF(D8&gt;0,Grunddata!$B4*(D8+D10)/200,Grunddata!$B4*(D7+D10)/200),0)</f>
        <v>0</v>
      </c>
      <c r="E18" s="30">
        <f>IF(E9&gt;0,IF(E8&gt;0,Grunddata!$B4*(E8+E10)/200,Grunddata!$B4*(E7+E10)/200),0)</f>
        <v>0</v>
      </c>
      <c r="F18" s="30">
        <f>IF(F9&gt;0,IF(F8&gt;0,Grunddata!$B4*(F8+F10)/200,Grunddata!$B4*(F7+F10)/200),0)</f>
        <v>0</v>
      </c>
      <c r="G18" s="30">
        <f>IF(G9&gt;0,IF(G8&gt;0,Grunddata!$B4*(G8+G10)/200,Grunddata!$B4*(G7+G10)/200),0)</f>
        <v>0</v>
      </c>
    </row>
    <row r="19" spans="1:7" ht="12.75">
      <c r="A19" s="31" t="s">
        <v>4</v>
      </c>
      <c r="B19" s="30">
        <f aca="true" t="shared" si="1" ref="B19:G19">IF(B9&gt;0,B7*(B11+B12)*B14/1000,0)</f>
        <v>6510.416666666667</v>
      </c>
      <c r="C19" s="30">
        <f t="shared" si="1"/>
        <v>0</v>
      </c>
      <c r="D19" s="30">
        <f t="shared" si="1"/>
        <v>0</v>
      </c>
      <c r="E19" s="30">
        <f t="shared" si="1"/>
        <v>0</v>
      </c>
      <c r="F19" s="30">
        <f t="shared" si="1"/>
        <v>0</v>
      </c>
      <c r="G19" s="30">
        <f t="shared" si="1"/>
        <v>0</v>
      </c>
    </row>
    <row r="20" spans="1:7" ht="12.75">
      <c r="A20" s="31" t="s">
        <v>130</v>
      </c>
      <c r="B20" s="44">
        <v>3000</v>
      </c>
      <c r="C20" s="44"/>
      <c r="D20" s="44"/>
      <c r="E20" s="44"/>
      <c r="F20" s="44"/>
      <c r="G20" s="44"/>
    </row>
    <row r="21" spans="1:7" ht="12.75">
      <c r="A21" s="31" t="s">
        <v>127</v>
      </c>
      <c r="B21" s="30">
        <f>IF(B9&gt;0,Grunddata!$B7*B15,0)</f>
        <v>1000</v>
      </c>
      <c r="C21" s="30">
        <f>IF(C9&gt;0,Grunddata!$B7*C15,0)</f>
        <v>0</v>
      </c>
      <c r="D21" s="30">
        <f>IF(D9&gt;0,Grunddata!$B7*D15,0)</f>
        <v>0</v>
      </c>
      <c r="E21" s="30">
        <f>IF(E9&gt;0,Grunddata!$B7*E15,0)</f>
        <v>0</v>
      </c>
      <c r="F21" s="30">
        <f>IF(F9&gt;0,Grunddata!$B7*F15,0)</f>
        <v>0</v>
      </c>
      <c r="G21" s="30">
        <f>IF(G9&gt;0,Grunddata!$B7*G15,0)</f>
        <v>0</v>
      </c>
    </row>
    <row r="22" spans="1:7" ht="12.75">
      <c r="A22" s="31" t="s">
        <v>11</v>
      </c>
      <c r="B22" s="30">
        <f aca="true" t="shared" si="2" ref="B22:G22">IF(B9&gt;0,SUM(B17:B21),0)</f>
        <v>74336.25413665101</v>
      </c>
      <c r="C22" s="30">
        <f t="shared" si="2"/>
        <v>0</v>
      </c>
      <c r="D22" s="30">
        <f t="shared" si="2"/>
        <v>0</v>
      </c>
      <c r="E22" s="30">
        <f t="shared" si="2"/>
        <v>0</v>
      </c>
      <c r="F22" s="30">
        <f t="shared" si="2"/>
        <v>0</v>
      </c>
      <c r="G22" s="30">
        <f t="shared" si="2"/>
        <v>0</v>
      </c>
    </row>
    <row r="23" spans="1:7" ht="12.75">
      <c r="A23" s="31" t="s">
        <v>12</v>
      </c>
      <c r="B23" s="30">
        <f aca="true" t="shared" si="3" ref="B23:G23">IF(B9&gt;0,IF((B11+B12)&gt;0,B22/(B11+B12),0),0)</f>
        <v>342.5414590616879</v>
      </c>
      <c r="C23" s="30">
        <f t="shared" si="3"/>
        <v>0</v>
      </c>
      <c r="D23" s="30">
        <f t="shared" si="3"/>
        <v>0</v>
      </c>
      <c r="E23" s="30">
        <f t="shared" si="3"/>
        <v>0</v>
      </c>
      <c r="F23" s="30">
        <f t="shared" si="3"/>
        <v>0</v>
      </c>
      <c r="G23" s="30">
        <f t="shared" si="3"/>
        <v>0</v>
      </c>
    </row>
    <row r="24" spans="1:2" ht="12.75">
      <c r="A24" s="1"/>
      <c r="B24" s="1"/>
    </row>
    <row r="25" spans="1:2" ht="12.75">
      <c r="A25" s="1"/>
      <c r="B25" s="1"/>
    </row>
    <row r="26" spans="1:2" ht="12.75">
      <c r="A26" s="1"/>
      <c r="B26" s="1"/>
    </row>
    <row r="27" spans="1:2" ht="12.75">
      <c r="A27" s="1"/>
      <c r="B27" s="1"/>
    </row>
  </sheetData>
  <sheetProtection selectLockedCells="1"/>
  <printOptions/>
  <pageMargins left="0.75" right="0.75" top="1" bottom="1" header="0.5" footer="0.5"/>
  <pageSetup horizontalDpi="600" verticalDpi="600" orientation="landscape" paperSize="9"/>
  <legacyDrawing r:id="rId2"/>
</worksheet>
</file>

<file path=xl/worksheets/sheet4.xml><?xml version="1.0" encoding="utf-8"?>
<worksheet xmlns="http://schemas.openxmlformats.org/spreadsheetml/2006/main" xmlns:r="http://schemas.openxmlformats.org/officeDocument/2006/relationships">
  <sheetPr codeName="Sheet1"/>
  <dimension ref="A1:AB42"/>
  <sheetViews>
    <sheetView tabSelected="1" zoomScalePageLayoutView="0" workbookViewId="0" topLeftCell="A1">
      <selection activeCell="B13" sqref="B13"/>
    </sheetView>
  </sheetViews>
  <sheetFormatPr defaultColWidth="8.8515625" defaultRowHeight="12.75"/>
  <cols>
    <col min="1" max="1" width="30.8515625" style="0" customWidth="1"/>
    <col min="2" max="8" width="13.7109375" style="0" customWidth="1"/>
    <col min="9" max="9" width="30.421875" style="0" customWidth="1"/>
    <col min="10" max="16" width="13.7109375" style="0" customWidth="1"/>
  </cols>
  <sheetData>
    <row r="1" spans="1:9" ht="15.75">
      <c r="A1" s="25" t="s">
        <v>152</v>
      </c>
      <c r="I1" s="29" t="s">
        <v>152</v>
      </c>
    </row>
    <row r="2" spans="1:16" ht="18" customHeight="1">
      <c r="A2" s="26" t="s">
        <v>157</v>
      </c>
      <c r="B2" s="11">
        <v>5</v>
      </c>
      <c r="C2" s="11">
        <v>9</v>
      </c>
      <c r="D2" s="11">
        <v>10</v>
      </c>
      <c r="E2" s="11">
        <v>1</v>
      </c>
      <c r="F2" s="11">
        <v>1</v>
      </c>
      <c r="G2" s="11">
        <v>1</v>
      </c>
      <c r="H2" s="39">
        <v>1</v>
      </c>
      <c r="I2" s="26" t="s">
        <v>13</v>
      </c>
      <c r="J2" s="39">
        <v>1</v>
      </c>
      <c r="K2" s="39">
        <v>1</v>
      </c>
      <c r="L2" s="39">
        <v>1</v>
      </c>
      <c r="M2" s="39">
        <v>1</v>
      </c>
      <c r="N2" s="39">
        <v>1</v>
      </c>
      <c r="O2" s="39">
        <v>1</v>
      </c>
      <c r="P2" s="39">
        <v>1</v>
      </c>
    </row>
    <row r="3" spans="1:16" ht="17.25" customHeight="1">
      <c r="A3" s="26" t="s">
        <v>2</v>
      </c>
      <c r="B3" s="11">
        <v>83</v>
      </c>
      <c r="C3" s="11">
        <v>163</v>
      </c>
      <c r="D3" s="11">
        <v>183</v>
      </c>
      <c r="E3" s="11">
        <f>(E2-1)*20+1</f>
        <v>1</v>
      </c>
      <c r="F3" s="11">
        <f>(F2-1)*20+1</f>
        <v>1</v>
      </c>
      <c r="G3" s="11">
        <f>1+(G2-1)*20</f>
        <v>1</v>
      </c>
      <c r="H3" s="39">
        <f>1+(H2-1)*20</f>
        <v>1</v>
      </c>
      <c r="I3" s="26" t="s">
        <v>2</v>
      </c>
      <c r="J3" s="39">
        <f aca="true" t="shared" si="0" ref="J3:P3">1+(J2-1)*20</f>
        <v>1</v>
      </c>
      <c r="K3" s="39">
        <f t="shared" si="0"/>
        <v>1</v>
      </c>
      <c r="L3" s="39">
        <f t="shared" si="0"/>
        <v>1</v>
      </c>
      <c r="M3" s="39">
        <f t="shared" si="0"/>
        <v>1</v>
      </c>
      <c r="N3" s="39">
        <f t="shared" si="0"/>
        <v>1</v>
      </c>
      <c r="O3" s="39">
        <f t="shared" si="0"/>
        <v>1</v>
      </c>
      <c r="P3" s="39">
        <f t="shared" si="0"/>
        <v>1</v>
      </c>
    </row>
    <row r="4" spans="1:16" ht="12" customHeight="1">
      <c r="A4" s="26" t="s">
        <v>151</v>
      </c>
      <c r="B4" s="11"/>
      <c r="C4" s="11"/>
      <c r="D4" s="11"/>
      <c r="E4" s="11"/>
      <c r="F4" s="11"/>
      <c r="G4" s="11"/>
      <c r="H4" s="39"/>
      <c r="I4" s="26" t="s">
        <v>151</v>
      </c>
      <c r="J4" s="39"/>
      <c r="K4" s="39"/>
      <c r="L4" s="39"/>
      <c r="M4" s="39"/>
      <c r="N4" s="39"/>
      <c r="O4" s="39"/>
      <c r="P4" s="39"/>
    </row>
    <row r="5" spans="1:28" ht="12" customHeight="1">
      <c r="A5" s="26" t="s">
        <v>124</v>
      </c>
      <c r="B5" s="40">
        <f>VLOOKUP(B3,Maskindata!$A2:$F700,6)</f>
        <v>110000</v>
      </c>
      <c r="C5" s="40">
        <f>VLOOKUP(C3,Maskindata!$A2:$F700,6)</f>
        <v>400000</v>
      </c>
      <c r="D5" s="40">
        <f>VLOOKUP(D3,Maskindata!$A2:$F700,6)</f>
        <v>100000</v>
      </c>
      <c r="E5" s="40">
        <f>VLOOKUP(E3,Maskindata!$A2:$F700,6)</f>
        <v>0</v>
      </c>
      <c r="F5" s="40">
        <f>VLOOKUP(F3,Maskindata!$A2:$F700,6)</f>
        <v>0</v>
      </c>
      <c r="G5" s="40">
        <f>VLOOKUP(G3,Maskindata!$A2:$F700,6)</f>
        <v>0</v>
      </c>
      <c r="H5" s="40">
        <f>VLOOKUP(H3,Maskindata!$A2:$F700,6)</f>
        <v>0</v>
      </c>
      <c r="I5" s="26" t="s">
        <v>124</v>
      </c>
      <c r="J5" s="40">
        <f>VLOOKUP(J3,Maskindata!$A2:$F700,6)</f>
        <v>0</v>
      </c>
      <c r="K5" s="40">
        <f>VLOOKUP(K3,Maskindata!$A2:$F700,6)</f>
        <v>0</v>
      </c>
      <c r="L5" s="40">
        <f>VLOOKUP(L3,Maskindata!$A2:$F700,6)</f>
        <v>0</v>
      </c>
      <c r="M5" s="40">
        <f>VLOOKUP(M3,Maskindata!$A2:$F700,6)</f>
        <v>0</v>
      </c>
      <c r="N5" s="40">
        <f>VLOOKUP(N3,Maskindata!$A2:$F700,6)</f>
        <v>0</v>
      </c>
      <c r="O5" s="40">
        <f>VLOOKUP(O3,Maskindata!$A2:$F700,6)</f>
        <v>0</v>
      </c>
      <c r="P5" s="40">
        <f>VLOOKUP(P3,Maskindata!$A2:$F700,6)</f>
        <v>0</v>
      </c>
      <c r="Q5" s="23"/>
      <c r="R5" s="23"/>
      <c r="S5" s="23"/>
      <c r="T5" s="23"/>
      <c r="U5" s="23"/>
      <c r="V5" s="23"/>
      <c r="W5" s="23"/>
      <c r="X5" s="23"/>
      <c r="Y5" s="23"/>
      <c r="Z5" s="23"/>
      <c r="AA5" s="23"/>
      <c r="AB5" s="23"/>
    </row>
    <row r="6" spans="1:28" ht="12" customHeight="1">
      <c r="A6" s="26" t="s">
        <v>125</v>
      </c>
      <c r="B6" s="41">
        <v>0</v>
      </c>
      <c r="C6" s="40"/>
      <c r="D6" s="40"/>
      <c r="E6" s="40"/>
      <c r="F6" s="40"/>
      <c r="G6" s="40"/>
      <c r="H6" s="42"/>
      <c r="I6" s="26" t="s">
        <v>125</v>
      </c>
      <c r="J6" s="42"/>
      <c r="K6" s="42"/>
      <c r="L6" s="42"/>
      <c r="M6" s="42"/>
      <c r="N6" s="42"/>
      <c r="O6" s="42"/>
      <c r="P6" s="42"/>
      <c r="Q6" s="23"/>
      <c r="R6" s="23"/>
      <c r="S6" s="23"/>
      <c r="T6" s="23"/>
      <c r="U6" s="23"/>
      <c r="V6" s="23"/>
      <c r="W6" s="23"/>
      <c r="X6" s="23"/>
      <c r="Y6" s="23"/>
      <c r="Z6" s="23"/>
      <c r="AA6" s="23"/>
      <c r="AB6" s="23"/>
    </row>
    <row r="7" spans="1:28" ht="12" customHeight="1">
      <c r="A7" s="26" t="s">
        <v>123</v>
      </c>
      <c r="B7" s="41">
        <v>8</v>
      </c>
      <c r="C7" s="40">
        <v>8</v>
      </c>
      <c r="D7" s="40">
        <v>8</v>
      </c>
      <c r="E7" s="40">
        <v>0</v>
      </c>
      <c r="F7" s="40">
        <v>0</v>
      </c>
      <c r="G7" s="40">
        <v>0</v>
      </c>
      <c r="H7" s="42">
        <v>10</v>
      </c>
      <c r="I7" s="26" t="s">
        <v>123</v>
      </c>
      <c r="J7" s="42">
        <v>8</v>
      </c>
      <c r="K7" s="42"/>
      <c r="L7" s="42"/>
      <c r="M7" s="42"/>
      <c r="N7" s="42"/>
      <c r="O7" s="42"/>
      <c r="P7" s="42"/>
      <c r="Q7" s="23"/>
      <c r="R7" s="23"/>
      <c r="S7" s="23"/>
      <c r="T7" s="23"/>
      <c r="U7" s="23"/>
      <c r="V7" s="23"/>
      <c r="W7" s="23"/>
      <c r="X7" s="23"/>
      <c r="Y7" s="23"/>
      <c r="Z7" s="23"/>
      <c r="AA7" s="23"/>
      <c r="AB7" s="23"/>
    </row>
    <row r="8" spans="1:28" ht="12" customHeight="1">
      <c r="A8" s="26" t="s">
        <v>0</v>
      </c>
      <c r="B8" s="60">
        <f>IF(B6&gt;0,Grunddata!$B11/100*B6*((100-Grunddata!$B10)/100)^B7,Grunddata!$B11/100*B5*((100-Grunddata!$B10)/100)^B7)</f>
        <v>40248.68413500002</v>
      </c>
      <c r="C8" s="60">
        <f>IF(C6&gt;0,Grunddata!$B11/100*C6*((100-Grunddata!$B10)/100)^C7,Grunddata!$B11/100*C5*((100-Grunddata!$B10)/100)^C7)</f>
        <v>146358.85140000004</v>
      </c>
      <c r="D8" s="60">
        <f>IF(D6&gt;0,Grunddata!$B11/100*D6*((100-Grunddata!$B10)/100)^D7,Grunddata!$B11/100*D5*((100-Grunddata!$B10)/100)^D7)</f>
        <v>36589.71285000001</v>
      </c>
      <c r="E8" s="60">
        <f>IF(E6&gt;0,Grunddata!$B11/100*E6*((100-Grunddata!$B10)/100)^E7,Grunddata!$B11/100*E5*((100-Grunddata!$B10)/100)^E7)</f>
        <v>0</v>
      </c>
      <c r="F8" s="60">
        <f>IF(F6&gt;0,Grunddata!$B11/100*F6*((100-Grunddata!$B10)/100)^F7,Grunddata!$B11/100*F5*((100-Grunddata!$B10)/100)^F7)</f>
        <v>0</v>
      </c>
      <c r="G8" s="60">
        <f>IF(G6&gt;0,Grunddata!$B11/100*G6*((100-Grunddata!$B10)/100)^G7,Grunddata!$B11/100*G5*((100-Grunddata!$B10)/100)^G7)</f>
        <v>0</v>
      </c>
      <c r="H8" s="60">
        <f>IF(H6&gt;0,Grunddata!$B11/100*H6*((100-Grunddata!$B10)/100)^H7,Grunddata!$B11/100*H5*((100-Grunddata!$B10)/100)^H7)</f>
        <v>0</v>
      </c>
      <c r="I8" s="26" t="s">
        <v>0</v>
      </c>
      <c r="J8" s="60">
        <f>IF(J6&gt;0,Grunddata!$B11/100*J6*((100-Grunddata!$B10)/100)^J7,Grunddata!$B11/100*J5*((100-Grunddata!$B10)/100)^J7)</f>
        <v>0</v>
      </c>
      <c r="K8" s="60">
        <f>IF(K6&gt;0,Grunddata!$B11/100*K6*((100-Grunddata!$B10)/100)^K7,Grunddata!$B11/100*K5*((100-Grunddata!$B10)/100)^K7)</f>
        <v>0</v>
      </c>
      <c r="L8" s="60">
        <f>IF(L6&gt;0,Grunddata!$B11/100*L6*((100-Grunddata!$B10)/100)^L7,Grunddata!$B11/100*L5*((100-Grunddata!$B10)/100)^L7)</f>
        <v>0</v>
      </c>
      <c r="M8" s="60">
        <f>IF(M6&gt;0,Grunddata!$B11/100*M6*((100-Grunddata!$B10)/100)^M7,Grunddata!$B11/100*M5*((100-Grunddata!$B10)/100)^M7)</f>
        <v>0</v>
      </c>
      <c r="N8" s="41">
        <f>IF(N6&gt;0,Grunddata!$B11/100*N6*((100-Grunddata!$B10)/100)^N7,Grunddata!$B11/100*N5*((100-Grunddata!$B10)/100)^N7)</f>
        <v>0</v>
      </c>
      <c r="O8" s="41">
        <f>IF(O6&gt;0,Grunddata!$B11/100*O6*((100-Grunddata!$B10)/100)^O7,Grunddata!$B11/100*O5*((100-Grunddata!$B10)/100)^O7)</f>
        <v>0</v>
      </c>
      <c r="P8" s="41">
        <f>IF(P6&gt;0,Grunddata!$B11/100*P6*((100-Grunddata!$B10)/100)^P7,Grunddata!$B11/100*P5*((100-Grunddata!$B10)/100)^P7)</f>
        <v>0</v>
      </c>
      <c r="Q8" s="23"/>
      <c r="R8" s="23"/>
      <c r="S8" s="23"/>
      <c r="T8" s="23"/>
      <c r="U8" s="23"/>
      <c r="V8" s="23"/>
      <c r="W8" s="23"/>
      <c r="X8" s="23"/>
      <c r="Y8" s="23"/>
      <c r="Z8" s="23"/>
      <c r="AA8" s="23"/>
      <c r="AB8" s="23"/>
    </row>
    <row r="9" spans="1:28" ht="12" customHeight="1">
      <c r="A9" s="26" t="s">
        <v>78</v>
      </c>
      <c r="B9" s="60">
        <f>SUM(Grödor!$D4*Grödor!$D5,Grödor!$E4*Grödor!$E5,Grödor!$F4*Grödor!$F5,Grödor!$G4*Grödor!$G5,Grödor!$H4*Grödor!$H5,Grödor!$I4*Grödor!$I5,Grödor!$J4*Grödor!$J5,Grödor!$K4*Grödor!$K5,Grödor!$L5)</f>
        <v>200</v>
      </c>
      <c r="C9" s="60">
        <f>SUM(Grödor!$D4*Grödor!$D7,Grödor!$E4*Grödor!$E7,Grödor!$F4*Grödor!$F7,Grödor!$G4*Grödor!$G7,Grödor!$H4*Grödor!$H7,Grödor!$I4*Grödor!$I7,Grödor!$J4*Grödor!$J7,Grödor!$K4*Grödor!$K7,Grödor!$L7)</f>
        <v>0</v>
      </c>
      <c r="D9" s="60">
        <f>SUM(Grödor!$D4*Grödor!$D9,Grödor!$E4*Grödor!$E9,Grödor!$F4*Grödor!$F9,Grödor!$G4*Grödor!$G9,Grödor!$H4*Grödor!$H9,Grödor!$I4*Grödor!$I9,Grödor!$J4*Grödor!$J9,Grödor!$K4*Grödor!$K7,Grödor!L9)</f>
        <v>0</v>
      </c>
      <c r="E9" s="60">
        <f>SUM(Grödor!$D4*Grödor!$D11,Grödor!$E4*Grödor!$E11,Grödor!$F4*Grödor!$F11,Grödor!$G4*Grödor!$G11,Grödor!$H4*Grödor!$H11,Grödor!$I4*Grödor!$I11,Grödor!$J4*Grödor!$J11,Grödor!$K4*Grödor!$K11,Grödor!$L11)</f>
        <v>0</v>
      </c>
      <c r="F9" s="60">
        <f>SUM(Grödor!$D4*Grödor!$D13,Grödor!$E4*Grödor!$E13,Grödor!$F4*Grödor!$F13,Grödor!$G4*Grödor!$G13,Grödor!$H4*Grödor!$H13,Grödor!$I4*Grödor!$I13,Grödor!$J4*Grödor!$J13,Grödor!$K4*Grödor!$K13,Grödor!$L13)</f>
        <v>0</v>
      </c>
      <c r="G9" s="60">
        <f>SUM(Grödor!$D4*Grödor!$D15,Grödor!$E4*Grödor!$E15,Grödor!$F4*Grödor!$F15,Grödor!$G4*Grödor!$G15,Grödor!$H4*Grödor!$H15,Grödor!$I4*Grödor!$I15,Grödor!$J4*Grödor!$J15,Grödor!$K4*Grödor!$K15,Grödor!$L15)</f>
        <v>0</v>
      </c>
      <c r="H9" s="60">
        <f>SUM(Grödor!$D4*Grödor!$D17,Grödor!$E4*Grödor!$E17,Grödor!$F4*Grödor!$F17,Grödor!$G4*Grödor!$G17,Grödor!$H4*Grödor!$H17,Grödor!$I4*Grödor!$I17,Grödor!$J4*Grödor!$J17,Grödor!$K4*Grödor!$K17,Grödor!$L17)</f>
        <v>0</v>
      </c>
      <c r="I9" s="26" t="s">
        <v>78</v>
      </c>
      <c r="J9" s="61">
        <f>SUM(Grödor!$D4*Grödor!$D19,Grödor!$E4*Grödor!$E19,Grödor!$F4*Grödor!$F19,Grödor!$G4*Grödor!$G19,Grödor!$H4*Grödor!$H19,Grödor!$I4*Grödor!$I19,Grödor!$J4*Grödor!$J19,Grödor!$K4*Grödor!$K19,Grödor!$L19)</f>
        <v>0</v>
      </c>
      <c r="K9" s="61">
        <f>SUM(Grödor!$D4*Grödor!$D21,Grödor!$E4*Grödor!$E21,Grödor!$F4*Grödor!$F21,Grödor!$G4*Grödor!$G21,Grödor!$H4*Grödor!$H21,Grödor!$I4*Grödor!$I21,Grödor!$J4*Grödor!$J21,Grödor!$K4*Grödor!$K21,Grödor!$L21)</f>
        <v>0</v>
      </c>
      <c r="L9" s="61">
        <f>SUM(Grödor!$D4*Grödor!$D23,Grödor!$E4*Grödor!$E23,Grödor!$F4*Grödor!$F23,Grödor!$G4*Grödor!$G23,Grödor!$H4*Grödor!$H23,Grödor!$I4*Grödor!$I23,Grödor!$J4*Grödor!$J23,Grödor!$K4*Grödor!$K23,Grödor!$L23)</f>
        <v>0</v>
      </c>
      <c r="M9" s="61">
        <f>SUM(Grödor!$D4*Grödor!$D25,Grödor!$E4*Grödor!$E25,Grödor!$F4*Grödor!$F25,Grödor!$G4*Grödor!$G25,Grödor!$H4*Grödor!$H25,Grödor!$I4*Grödor!$I25,Grödor!$J4*Grödor!$J25,Grödor!$K4*Grödor!$K25,Grödor!$L25)</f>
        <v>0</v>
      </c>
      <c r="N9" s="42"/>
      <c r="O9" s="42"/>
      <c r="P9" s="42"/>
      <c r="Q9" s="23"/>
      <c r="R9" s="23"/>
      <c r="S9" s="23"/>
      <c r="T9" s="23"/>
      <c r="U9" s="23"/>
      <c r="V9" s="23"/>
      <c r="W9" s="23"/>
      <c r="X9" s="23"/>
      <c r="Y9" s="23"/>
      <c r="Z9" s="23"/>
      <c r="AA9" s="23"/>
      <c r="AB9" s="23"/>
    </row>
    <row r="10" spans="1:28" ht="12" customHeight="1">
      <c r="A10" s="26" t="s">
        <v>122</v>
      </c>
      <c r="B10" s="40">
        <v>8</v>
      </c>
      <c r="C10" s="40">
        <v>7</v>
      </c>
      <c r="D10" s="40">
        <v>10</v>
      </c>
      <c r="E10" s="40">
        <v>10</v>
      </c>
      <c r="F10" s="40">
        <v>10</v>
      </c>
      <c r="G10" s="40">
        <v>6</v>
      </c>
      <c r="H10" s="42">
        <v>12</v>
      </c>
      <c r="I10" s="26" t="s">
        <v>122</v>
      </c>
      <c r="J10" s="42">
        <v>12</v>
      </c>
      <c r="K10" s="42"/>
      <c r="L10" s="42"/>
      <c r="M10" s="42"/>
      <c r="N10" s="42"/>
      <c r="O10" s="42"/>
      <c r="P10" s="42"/>
      <c r="Q10" s="23"/>
      <c r="R10" s="23"/>
      <c r="S10" s="23"/>
      <c r="T10" s="23"/>
      <c r="U10" s="23"/>
      <c r="V10" s="23"/>
      <c r="W10" s="23"/>
      <c r="X10" s="23"/>
      <c r="Y10" s="23"/>
      <c r="Z10" s="23"/>
      <c r="AA10" s="23"/>
      <c r="AB10" s="23"/>
    </row>
    <row r="11" spans="1:28" ht="12" customHeight="1">
      <c r="A11" s="26" t="s">
        <v>15</v>
      </c>
      <c r="B11" s="45">
        <f>VLOOKUP(B3,Maskindata!$A2:$F700,3)</f>
        <v>1.6</v>
      </c>
      <c r="C11" s="45">
        <f>VLOOKUP(C3,Maskindata!$A2:$F700,3)</f>
        <v>6</v>
      </c>
      <c r="D11" s="45">
        <f>VLOOKUP(D3,Maskindata!$A2:$F700,3)</f>
        <v>9</v>
      </c>
      <c r="E11" s="45">
        <f>VLOOKUP(E3,Maskindata!$A2:$F700,3)</f>
        <v>0</v>
      </c>
      <c r="F11" s="45">
        <f>VLOOKUP(F3,Maskindata!$A2:$F700,3)</f>
        <v>0</v>
      </c>
      <c r="G11" s="45">
        <f>VLOOKUP(G3,Maskindata!$A2:$F700,3)</f>
        <v>0</v>
      </c>
      <c r="H11" s="45">
        <f>VLOOKUP(H3,Maskindata!$A2:$F700,3)</f>
        <v>0</v>
      </c>
      <c r="I11" s="26" t="s">
        <v>15</v>
      </c>
      <c r="J11" s="45">
        <f>VLOOKUP(J3,Maskindata!$A2:$F700,3)</f>
        <v>0</v>
      </c>
      <c r="K11" s="45">
        <f>VLOOKUP(K3,Maskindata!$A2:$F700,3)</f>
        <v>0</v>
      </c>
      <c r="L11" s="45">
        <f>VLOOKUP(L3,Maskindata!$A2:$F700,3)</f>
        <v>0</v>
      </c>
      <c r="M11" s="45">
        <f>VLOOKUP(M3,Maskindata!$A2:$F700,3)</f>
        <v>0</v>
      </c>
      <c r="N11" s="45">
        <f>VLOOKUP(N3,Maskindata!$A2:$F700,3)</f>
        <v>0</v>
      </c>
      <c r="O11" s="45">
        <f>VLOOKUP(O3,Maskindata!$A2:$F700,3)</f>
        <v>0</v>
      </c>
      <c r="P11" s="45">
        <f>VLOOKUP(P3,Maskindata!$A2:$F700,3)</f>
        <v>0</v>
      </c>
      <c r="Q11" s="23"/>
      <c r="R11" s="23"/>
      <c r="S11" s="23"/>
      <c r="T11" s="23"/>
      <c r="U11" s="23"/>
      <c r="V11" s="23"/>
      <c r="W11" s="23"/>
      <c r="X11" s="23"/>
      <c r="Y11" s="23"/>
      <c r="Z11" s="23"/>
      <c r="AA11" s="23"/>
      <c r="AB11" s="23"/>
    </row>
    <row r="12" spans="1:28" ht="12" customHeight="1">
      <c r="A12" s="26" t="s">
        <v>358</v>
      </c>
      <c r="B12" s="40">
        <v>20</v>
      </c>
      <c r="C12" s="40">
        <v>20</v>
      </c>
      <c r="D12" s="40"/>
      <c r="E12" s="40">
        <v>4</v>
      </c>
      <c r="F12" s="40">
        <v>0.3</v>
      </c>
      <c r="G12" s="40"/>
      <c r="H12" s="42"/>
      <c r="I12" s="26" t="s">
        <v>358</v>
      </c>
      <c r="J12" s="42"/>
      <c r="K12" s="42"/>
      <c r="L12" s="42"/>
      <c r="M12" s="42"/>
      <c r="N12" s="42"/>
      <c r="O12" s="42"/>
      <c r="P12" s="42"/>
      <c r="Q12" s="23"/>
      <c r="R12" s="23"/>
      <c r="S12" s="23"/>
      <c r="T12" s="23"/>
      <c r="U12" s="23"/>
      <c r="V12" s="23"/>
      <c r="W12" s="23"/>
      <c r="X12" s="23"/>
      <c r="Y12" s="23"/>
      <c r="Z12" s="23"/>
      <c r="AA12" s="23"/>
      <c r="AB12" s="23"/>
    </row>
    <row r="13" spans="1:28" ht="12" customHeight="1">
      <c r="A13" s="26" t="s">
        <v>17</v>
      </c>
      <c r="B13" s="40">
        <f>VLOOKUP(B3,Maskindata!$A2:$F700,4)</f>
        <v>80</v>
      </c>
      <c r="C13" s="40">
        <f>VLOOKUP(C3,Maskindata!$A2:$F700,4)</f>
        <v>65</v>
      </c>
      <c r="D13" s="40">
        <f>VLOOKUP(D3,Maskindata!$A2:$F700,4)</f>
        <v>80</v>
      </c>
      <c r="E13" s="40">
        <f>VLOOKUP(E3,Maskindata!$A2:$F700,4)</f>
        <v>0</v>
      </c>
      <c r="F13" s="40">
        <f>VLOOKUP(F3,Maskindata!$A2:$F700,4)</f>
        <v>0</v>
      </c>
      <c r="G13" s="40">
        <f>VLOOKUP(G3,Maskindata!$A2:$F700,4)</f>
        <v>0</v>
      </c>
      <c r="H13" s="40">
        <f>VLOOKUP(H3,Maskindata!$A2:$F700,4)</f>
        <v>0</v>
      </c>
      <c r="I13" s="26" t="s">
        <v>17</v>
      </c>
      <c r="J13" s="40">
        <f>VLOOKUP(J3,Maskindata!$A2:$F700,4)</f>
        <v>0</v>
      </c>
      <c r="K13" s="40">
        <f>VLOOKUP(K3,Maskindata!$A2:$F700,4)</f>
        <v>0</v>
      </c>
      <c r="L13" s="40">
        <f>VLOOKUP(L3,Maskindata!$A2:$F700,4)</f>
        <v>0</v>
      </c>
      <c r="M13" s="40">
        <f>VLOOKUP(M3,Maskindata!$A2:$F700,4)</f>
        <v>0</v>
      </c>
      <c r="N13" s="40">
        <f>VLOOKUP(N3,Maskindata!$A2:$F700,4)</f>
        <v>0</v>
      </c>
      <c r="O13" s="40">
        <f>VLOOKUP(O3,Maskindata!$A2:$F700,4)</f>
        <v>0</v>
      </c>
      <c r="P13" s="40">
        <f>VLOOKUP(P3,Maskindata!$A2:$F700,4)</f>
        <v>0</v>
      </c>
      <c r="Q13" s="23"/>
      <c r="R13" s="23"/>
      <c r="S13" s="23"/>
      <c r="T13" s="23"/>
      <c r="U13" s="23"/>
      <c r="V13" s="23"/>
      <c r="W13" s="23"/>
      <c r="X13" s="23"/>
      <c r="Y13" s="23"/>
      <c r="Z13" s="23"/>
      <c r="AA13" s="23"/>
      <c r="AB13" s="23"/>
    </row>
    <row r="14" spans="1:28" ht="12" customHeight="1">
      <c r="A14" s="26" t="s">
        <v>170</v>
      </c>
      <c r="B14" s="40">
        <v>10</v>
      </c>
      <c r="C14" s="40">
        <v>10</v>
      </c>
      <c r="D14" s="40">
        <v>10</v>
      </c>
      <c r="E14" s="40">
        <v>10</v>
      </c>
      <c r="F14" s="40">
        <v>10</v>
      </c>
      <c r="G14" s="40">
        <v>5</v>
      </c>
      <c r="H14" s="42"/>
      <c r="I14" s="26" t="s">
        <v>170</v>
      </c>
      <c r="J14" s="42">
        <v>5</v>
      </c>
      <c r="K14" s="42"/>
      <c r="L14" s="42"/>
      <c r="M14" s="42"/>
      <c r="N14" s="42"/>
      <c r="O14" s="42"/>
      <c r="P14" s="42"/>
      <c r="Q14" s="23"/>
      <c r="R14" s="23"/>
      <c r="S14" s="23"/>
      <c r="T14" s="23"/>
      <c r="U14" s="23"/>
      <c r="V14" s="23"/>
      <c r="W14" s="23"/>
      <c r="X14" s="23"/>
      <c r="Y14" s="23"/>
      <c r="Z14" s="23"/>
      <c r="AA14" s="23"/>
      <c r="AB14" s="23"/>
    </row>
    <row r="15" spans="1:16" s="24" customFormat="1" ht="12" customHeight="1">
      <c r="A15" s="27" t="s">
        <v>77</v>
      </c>
      <c r="B15" s="59">
        <f>B11*B10*B13*(100-B14)/100000</f>
        <v>0.9216</v>
      </c>
      <c r="C15" s="59">
        <f aca="true" t="shared" si="1" ref="C15:H15">C11*C10*C13*(100-C14)/100000</f>
        <v>2.457</v>
      </c>
      <c r="D15" s="59">
        <f t="shared" si="1"/>
        <v>6.48</v>
      </c>
      <c r="E15" s="59">
        <f t="shared" si="1"/>
        <v>0</v>
      </c>
      <c r="F15" s="59">
        <f t="shared" si="1"/>
        <v>0</v>
      </c>
      <c r="G15" s="59">
        <f t="shared" si="1"/>
        <v>0</v>
      </c>
      <c r="H15" s="59">
        <f t="shared" si="1"/>
        <v>0</v>
      </c>
      <c r="I15" s="27" t="s">
        <v>77</v>
      </c>
      <c r="J15" s="64">
        <f aca="true" t="shared" si="2" ref="J15:P15">J11*J10*J13*(100-J14)/100000</f>
        <v>0</v>
      </c>
      <c r="K15" s="64">
        <f t="shared" si="2"/>
        <v>0</v>
      </c>
      <c r="L15" s="64">
        <f t="shared" si="2"/>
        <v>0</v>
      </c>
      <c r="M15" s="64">
        <f t="shared" si="2"/>
        <v>0</v>
      </c>
      <c r="N15" s="65">
        <f t="shared" si="2"/>
        <v>0</v>
      </c>
      <c r="O15" s="65">
        <f t="shared" si="2"/>
        <v>0</v>
      </c>
      <c r="P15" s="65">
        <f t="shared" si="2"/>
        <v>0</v>
      </c>
    </row>
    <row r="16" spans="1:28" ht="12" customHeight="1">
      <c r="A16" s="26" t="s">
        <v>16</v>
      </c>
      <c r="B16" s="60">
        <f>IF(B7&gt;0,IF(B15&gt;0,B9/B15,0),0)</f>
        <v>217.01388888888889</v>
      </c>
      <c r="C16" s="60">
        <f aca="true" t="shared" si="3" ref="C16:H16">IF(C7&gt;0,IF(C15&gt;0,C9/C15,0),0)</f>
        <v>0</v>
      </c>
      <c r="D16" s="60">
        <f t="shared" si="3"/>
        <v>0</v>
      </c>
      <c r="E16" s="60">
        <f t="shared" si="3"/>
        <v>0</v>
      </c>
      <c r="F16" s="60">
        <f t="shared" si="3"/>
        <v>0</v>
      </c>
      <c r="G16" s="60">
        <f t="shared" si="3"/>
        <v>0</v>
      </c>
      <c r="H16" s="60">
        <f t="shared" si="3"/>
        <v>0</v>
      </c>
      <c r="I16" s="26" t="s">
        <v>16</v>
      </c>
      <c r="J16" s="60">
        <f aca="true" t="shared" si="4" ref="J16:P16">IF(J7&gt;0,IF(J15&gt;0,J9/J15,0),0)</f>
        <v>0</v>
      </c>
      <c r="K16" s="60">
        <f t="shared" si="4"/>
        <v>0</v>
      </c>
      <c r="L16" s="60">
        <f t="shared" si="4"/>
        <v>0</v>
      </c>
      <c r="M16" s="60">
        <f t="shared" si="4"/>
        <v>0</v>
      </c>
      <c r="N16" s="44">
        <f t="shared" si="4"/>
        <v>0</v>
      </c>
      <c r="O16" s="44">
        <f t="shared" si="4"/>
        <v>0</v>
      </c>
      <c r="P16" s="44">
        <f t="shared" si="4"/>
        <v>0</v>
      </c>
      <c r="Q16" s="23"/>
      <c r="R16" s="23"/>
      <c r="S16" s="23"/>
      <c r="T16" s="23"/>
      <c r="U16" s="23"/>
      <c r="V16" s="23"/>
      <c r="W16" s="23"/>
      <c r="X16" s="23"/>
      <c r="Y16" s="23"/>
      <c r="Z16" s="23"/>
      <c r="AA16" s="23"/>
      <c r="AB16" s="23"/>
    </row>
    <row r="17" spans="1:28" ht="12" customHeight="1">
      <c r="A17" s="26" t="s">
        <v>350</v>
      </c>
      <c r="B17" s="62">
        <f>IF(B15&gt;0,IF(B22&gt;0,IF(B2&lt;7,((VLOOKUP(B2,Maskindata!$A835:$E857,3)*B10*B11*(B12/100)+(B42*B10*Grunddata!$B18))*(B13/100+(100-B13)*(VLOOKUP(B2,Maskindata!$A835:$E857,5)/10000)))/((Grunddata!$B16/100)*((100-Grunddata!$B17)/100)*Grunddata!$B15*B15),((VLOOKUP(B2,Maskindata!$A835:$E857,4)*B10*B11+(B42*B10*Grunddata!$B18))*(B13/100+(100-B13)*(VLOOKUP(B2,Maskindata!$A835:$E857,5)/10000)))/((Grunddata!$B16/100)*((100-Grunddata!$B17)/100)*Grunddata!$B15*B15)),0),0)</f>
        <v>24.372632575757578</v>
      </c>
      <c r="C17" s="62">
        <f>IF(C15&gt;0,IF(C22&gt;0,IF(C2&lt;7,((VLOOKUP(C2,Maskindata!$A835:$E857,3)*C10*C11*(C12/100)+(C42*C10*Grunddata!$B18))*(C13/100+(100-C13)*(VLOOKUP(C2,Maskindata!$A835:$E857,5)/10000)))/((Grunddata!$B16/100)*((100-Grunddata!$B17)/100)*Grunddata!$B15*C15),((VLOOKUP(C2,Maskindata!$A835:$E857,4)*C10*C11+(C42*C10*Grunddata!$B18))*(C13/100+(100-C13)*(VLOOKUP(C2,Maskindata!$A835:$E857,5)/10000)))/((Grunddata!$B16/100)*((100-Grunddata!$B17)/100)*Grunddata!$B15*C15)),0),0)</f>
        <v>8.012820512820513</v>
      </c>
      <c r="D17" s="62">
        <f>IF(D15&gt;0,IF(D22&gt;0,IF(D2&lt;7,((VLOOKUP(D2,Maskindata!$A835:$E857,3)*D10*D11*(D12/100)+(D42*D10*Grunddata!$B18))*(D13/100+(100-D13)*(VLOOKUP(D2,Maskindata!$A835:$E857,5)/10000)))/((Grunddata!$B16/100)*((100-Grunddata!$B17)/100)*Grunddata!$B15*D15),((VLOOKUP(D2,Maskindata!$A835:$E857,4)*D10*D11+(D42*D10*Grunddata!$B18))*(D13/100+(100-D13)*(VLOOKUP(D2,Maskindata!$A835:$E857,5)/10000)))/((Grunddata!$B16/100)*((100-Grunddata!$B17)/100)*Grunddata!$B15*D15)),0),0)</f>
        <v>1.972853535353535</v>
      </c>
      <c r="E17" s="62">
        <f>IF(E15&gt;0,IF(E22&gt;0,IF(E2&lt;7,((VLOOKUP(E2,Maskindata!$A835:$E857,3)*E10*E11*(E12/100)+(E42*E10*Grunddata!$B18))*(E13/100+(100-E13)*(VLOOKUP(E2,Maskindata!$A835:$E857,5)/10000)))/((Grunddata!$B16/100)*((100-Grunddata!$B17)/100)*Grunddata!$B15*E15),((VLOOKUP(E2,Maskindata!$A835:$E857,4)*E10*E11+(E42*E10*Grunddata!$B18))*(E13/100+(100-E13)*(VLOOKUP(E2,Maskindata!$A835:$E857,5)/10000)))/((Grunddata!$B16/100)*((100-Grunddata!$B17)/100)*Grunddata!$B15*E15)),0),0)</f>
        <v>0</v>
      </c>
      <c r="F17" s="62">
        <f>IF(F15&gt;0,IF(F22&gt;0,IF(F2&lt;7,((VLOOKUP(F2,Maskindata!$A835:$E857,3)*F10*F11*(F12/100)+(F42*F10*Grunddata!$B18))*(F13/100+(100-F13)*(VLOOKUP(F2,Maskindata!$A835:$E857,5)/10000)))/((Grunddata!$B16/100)*((100-Grunddata!$B17)/100)*Grunddata!$B15*F15),((VLOOKUP(F2,Maskindata!$A835:$E857,4)*F10*F11+(F42*F10*Grunddata!$B18))*(F13/100+(100-F13)*(VLOOKUP(F2,Maskindata!$A835:$E857,5)/10000)))/((Grunddata!$B16/100)*((100-Grunddata!$B17)/100)*Grunddata!$B15*F15)),0),0)</f>
        <v>0</v>
      </c>
      <c r="G17" s="62">
        <f>IF(G15&gt;0,IF(G22&gt;0,IF(G2&lt;7,((VLOOKUP(G2,Maskindata!$A835:$E857,3)*G10*G11*(G12/100)+(G42*G10*Grunddata!$B18))*(G13/100+(100-G13)*(VLOOKUP(G2,Maskindata!$A835:$E857,5)/10000)))/((Grunddata!$B16/100)*((100-Grunddata!$B17)/100)*Grunddata!$B15*G15),((VLOOKUP(G2,Maskindata!$A835:$E857,4)*G10*G11+(G42*G10*Grunddata!$B18))*(G13/100+(100-G13)*(VLOOKUP(G2,Maskindata!$A835:$E857,5)/10000)))/((Grunddata!$B16/100)*((100-Grunddata!$B17)/100)*Grunddata!$B15*G15)),0),0)</f>
        <v>0</v>
      </c>
      <c r="H17" s="62">
        <f>IF(H15&gt;0,IF(H22&gt;0,IF(H2&lt;7,((VLOOKUP(H2,Maskindata!$A835:$E857,3)*H10*H11*(H12/100)+(H42*H10*Grunddata!$B18))*(H13/100+(100-H13)*(VLOOKUP(H2,Maskindata!$A835:$E857,5)/10000)))/((Grunddata!$B16/100)*((100-Grunddata!$B17)/100)*Grunddata!$B15*H15),((VLOOKUP(H2,Maskindata!$A835:$E857,4)*H10*H11+(H42*H10*Grunddata!$B18))*(H13/100+(100-H13)*(VLOOKUP(H2,Maskindata!$A835:$E857,5)/10000)))/((Grunddata!$B16/100)*((100-Grunddata!$B17)/100)*Grunddata!$B15*H15)),0),0)</f>
        <v>0</v>
      </c>
      <c r="I17" s="26" t="s">
        <v>350</v>
      </c>
      <c r="J17" s="62">
        <f>IF(J15&gt;0,IF(J22&gt;0,IF(J2&lt;7,((VLOOKUP(J2,Maskindata!$A835:$E857,3)*J10*J11*(J12/100)+(J42*J10*Grunddata!$B18))*(J13/100+(100-J13)*(VLOOKUP(J2,Maskindata!$A835:$E857,5)/10000)))/((Grunddata!$B16/100)*((100-Grunddata!$B17)/100)*Grunddata!$B15*J15),((VLOOKUP(J2,Maskindata!$A835:$E857,4)*J10*J11+(J42*J10*Grunddata!$B18))*(J13/100+(100-J13)*(VLOOKUP(J2,Maskindata!$A835:$E857,5)/10000)))/((Grunddata!$B16/100)*((100-Grunddata!$B17)/100)*Grunddata!$B15*J15)),0),0)</f>
        <v>0</v>
      </c>
      <c r="K17" s="62">
        <f>IF(K15&gt;0,IF(K22&gt;0,IF(K2&lt;7,((VLOOKUP(K2,Maskindata!$A835:$E857,3)*K10*K11*(K12/100)+(K42*K10*Grunddata!$B18))*(K13/100+(100-K13)*(VLOOKUP(K2,Maskindata!$A835:$E857,5)/10000)))/((Grunddata!$B16/100)*((100-Grunddata!$B17)/100)*Grunddata!$B15*K15),((VLOOKUP(K2,Maskindata!$A835:$E857,4)*K10*K11+(K42*K10*Grunddata!$B18))*(K13/100+(100-K13)*(VLOOKUP(K2,Maskindata!$A835:$E857,5)/10000)))/((Grunddata!$B16/100)*((100-Grunddata!$B17)/100)*Grunddata!$B15*K15)),0),0)</f>
        <v>0</v>
      </c>
      <c r="L17" s="62">
        <f>IF(L15&gt;0,IF(L22&gt;0,IF(L2&lt;7,((VLOOKUP(L2,Maskindata!$A835:$E857,3)*L10*L11*(L12/100)+(L42*L10*Grunddata!$B18))*(L13/100+(100-L13)*(VLOOKUP(L2,Maskindata!$A835:$E857,5)/10000)))/((Grunddata!$B16/100)*((100-Grunddata!$B17)/100)*Grunddata!$B15*L15),((VLOOKUP(L2,Maskindata!$A835:$E857,4)*L10*L11+(L42*L10*Grunddata!$B18))*(L13/100+(100-L13)*(VLOOKUP(L2,Maskindata!$A835:$E857,5)/10000)))/((Grunddata!$B16/100)*((100-Grunddata!$B17)/100)*Grunddata!$B15*L15)),0),0)</f>
        <v>0</v>
      </c>
      <c r="M17" s="62">
        <f>IF(M15&gt;0,IF(M22&gt;0,IF(M2&lt;7,((VLOOKUP(M2,Maskindata!$A835:$E857,3)*M10*M11*(M12/100)+(M42*M10*Grunddata!$B18))*(M13/100+(100-M13)*(VLOOKUP(M2,Maskindata!$A835:$E857,5)/10000)))/((Grunddata!$B16/100)*((100-Grunddata!$B17)/100)*Grunddata!$B15*M15),((VLOOKUP(M2,Maskindata!$A835:$E857,4)*M10*M11+(M42*M10*Grunddata!$B18))*(M13/100+(100-M13)*(VLOOKUP(M2,Maskindata!$A835:$E857,5)/10000)))/((Grunddata!$B16/100)*((100-Grunddata!$B17)/100)*Grunddata!$B15*M15)),0),0)</f>
        <v>0</v>
      </c>
      <c r="N17" s="62">
        <f>IF(N22&gt;0,IF(N2&lt;7,((VLOOKUP(N2,Maskindata!$A835:$E857,3)*N10*N11*(N12/100)+(N42*N10*Grunddata!$B18))*(N13/100+(100-N13)*(VLOOKUP(N2,Maskindata!$A835:$E857,5)/10000)))/((Grunddata!$B16/100)*((100-Grunddata!$B17)/100)*Grunddata!$B15),((VLOOKUP(N2,Maskindata!$A835:$E857,4)*N10*N11+(N42*N10*Grunddata!$B18))*(N13/100+(100-N13)*(VLOOKUP(N2,Maskindata!$A835:$E857,5)/10000)))/((Grunddata!$B16/100)*((100-Grunddata!$B17)/100)*Grunddata!$B15)),0)</f>
        <v>0</v>
      </c>
      <c r="O17" s="62">
        <f>IF(O22&gt;0,IF(O2&lt;7,((VLOOKUP(O2,Maskindata!$A835:$E857,3)*O10*O11*(O12/100)+(O42*O10*Grunddata!$B18))*(O13/100+(100-O13)*(VLOOKUP(O2,Maskindata!$A835:$E857,5)/10000)))/((Grunddata!$B16/100)*((100-Grunddata!$B17)/100)*Grunddata!$B15),((VLOOKUP(O2,Maskindata!$A835:$E857,4)*O10*O11+(O42*O10*Grunddata!$B18))*(O13/100+(100-O13)*(VLOOKUP(O2,Maskindata!$A835:$E857,5)/10000)))/((Grunddata!$B16/100)*((100-Grunddata!$B17)/100)*Grunddata!$B15)),0)</f>
        <v>0</v>
      </c>
      <c r="P17" s="62">
        <f>IF(P22&gt;0,IF(P2&lt;7,((VLOOKUP(P2,Maskindata!$A835:$E857,3)*P10*P11*(P12/100)+(P42*P10*Grunddata!$B18))*(P13/100+(100-P13)*(VLOOKUP(P2,Maskindata!$A835:$E857,5)/10000)))/((Grunddata!$B16/100)*((100-Grunddata!$B17)/100)*Grunddata!$B15),((VLOOKUP(P2,Maskindata!$A835:$E857,4)*P10*P11+(P42*P10*Grunddata!$B18))*(P13/100+(100-P13)*(VLOOKUP(P2,Maskindata!$A835:$E857,5)/10000)))/((Grunddata!$B16/100)*((100-Grunddata!$B17)/100)*Grunddata!$B15)),0)</f>
        <v>0</v>
      </c>
      <c r="Q17" s="23"/>
      <c r="R17" s="23"/>
      <c r="S17" s="23"/>
      <c r="T17" s="23"/>
      <c r="U17" s="23"/>
      <c r="V17" s="23"/>
      <c r="W17" s="23"/>
      <c r="X17" s="23"/>
      <c r="Y17" s="23"/>
      <c r="Z17" s="23"/>
      <c r="AA17" s="23"/>
      <c r="AB17" s="23"/>
    </row>
    <row r="18" spans="1:28" ht="12" customHeight="1">
      <c r="A18" s="26" t="s">
        <v>351</v>
      </c>
      <c r="B18" s="40"/>
      <c r="C18" s="40"/>
      <c r="D18" s="40"/>
      <c r="E18" s="40"/>
      <c r="F18" s="40"/>
      <c r="G18" s="40">
        <v>19.48</v>
      </c>
      <c r="H18" s="40"/>
      <c r="I18" s="26" t="s">
        <v>351</v>
      </c>
      <c r="J18" s="42"/>
      <c r="K18" s="42"/>
      <c r="L18" s="42"/>
      <c r="M18" s="42"/>
      <c r="N18" s="42"/>
      <c r="O18" s="42"/>
      <c r="P18" s="42"/>
      <c r="Q18" s="23"/>
      <c r="R18" s="23"/>
      <c r="S18" s="23"/>
      <c r="T18" s="23"/>
      <c r="U18" s="23"/>
      <c r="V18" s="23"/>
      <c r="W18" s="23"/>
      <c r="X18" s="23"/>
      <c r="Y18" s="23"/>
      <c r="Z18" s="23"/>
      <c r="AA18" s="23"/>
      <c r="AB18" s="23"/>
    </row>
    <row r="19" spans="1:28" ht="12" customHeight="1">
      <c r="A19" s="26" t="s">
        <v>76</v>
      </c>
      <c r="B19" s="62">
        <f>IF(B22&gt;0,IF(B2&lt;7,((VLOOKUP(B2,Maskindata!$A835:$E857,3)*B10*B11*(B12/100)+(B42*B10*Grunddata!$B18)))/(3.6*0.01*(100-Grunddata!$B17)*(Grunddata!$B19/100)),((VLOOKUP(B2,Maskindata!$A835:$E857,4)*B10*B11+(B42*B10*Grunddata!$B18)))/(3.6*0.01*(100-Grunddata!$B17)*(Grunddata!$B19/100))),0)</f>
        <v>101.679012345679</v>
      </c>
      <c r="C19" s="62">
        <f>IF(C22&gt;0,IF(C2&lt;7,((VLOOKUP(C2,Maskindata!$A835:$E857,3)*C10*C11*(C12/100)+(C42*C10*Grunddata!$B18)))/(3.6*0.01*(100-Grunddata!$B17)*(Grunddata!$B19/100)),((VLOOKUP(C2,Maskindata!$A835:$E857,4)*C10*C11+(C42*C10*Grunddata!$B18)))/(3.6*0.01*(100-Grunddata!$B17)*(Grunddata!$B19/100))),0)</f>
        <v>97.2222222222222</v>
      </c>
      <c r="D19" s="62">
        <f>IF(D22&gt;0,IF(D2&lt;7,((VLOOKUP(D2,Maskindata!$A835:$E857,3)*D10*D11*(D12/100)+(D42*D10*Grunddata!$B18)))/(3.6*0.01*(100-Grunddata!$B17)*(Grunddata!$B19/100)),((VLOOKUP(D2,Maskindata!$A835:$E857,4)*D10*D11+(D42*D10*Grunddata!$B18)))/(3.6*0.01*(100-Grunddata!$B17)*(Grunddata!$B19/100))),0)</f>
        <v>57.87037037037036</v>
      </c>
      <c r="E19" s="62">
        <f>IF(E22&gt;0,IF(E2&lt;7,((VLOOKUP(E2,Maskindata!$A835:$E857,3)*E10*E11*(E12/100)+(E42*E10*Grunddata!$B18)))/(3.6*0.01*(100-Grunddata!$B17)*(Grunddata!$B19/100)),((VLOOKUP(E2,Maskindata!$A835:$E857,4)*E10*E11+(E42*E10*Grunddata!$B18)))/(3.6*0.01*(100-Grunddata!$B17)*(Grunddata!$B19/100))),0)</f>
        <v>0</v>
      </c>
      <c r="F19" s="62">
        <f>IF(F22&gt;0,IF(F2&lt;7,((VLOOKUP(F2,Maskindata!$A835:$E857,3)*F10*F11*(F12/100)+(F42*F10*Grunddata!$B18)))/(3.6*0.01*(100-Grunddata!$B17)*(Grunddata!$B19/100)),((VLOOKUP(F2,Maskindata!$A835:$E857,4)*F10*F11+(F42*F10*Grunddata!$B18)))/(3.6*0.01*(100-Grunddata!$B17)*(Grunddata!$B19/100))),0)</f>
        <v>0</v>
      </c>
      <c r="G19" s="62">
        <f>IF(G22&gt;0,IF(G2&lt;7,((VLOOKUP(G2,Maskindata!$A835:$E857,3)*G10*G11*(G12/100)+(G42*G10*Grunddata!$B18)))/(3.6*0.01*(100-Grunddata!$B17)*(Grunddata!$B19/100)),((VLOOKUP(G2,Maskindata!$A835:$E857,4)*G10*G11+(G42*G10*Grunddata!$B18)))/(3.6*0.01*(100-Grunddata!$B17)*(Grunddata!$B19/100))),0)</f>
        <v>0</v>
      </c>
      <c r="H19" s="62">
        <f>IF(H22&gt;0,IF(H2&lt;7,((VLOOKUP(H2,Maskindata!$A835:$E857,3)*H10*H11*(H12/100)+(H42*H10*Grunddata!$B18)))/(3.6*0.01*(100-Grunddata!$B17)*(Grunddata!$B19/100)),((VLOOKUP(H2,Maskindata!$A835:$E857,4)*H10*H11+(H42*H10*Grunddata!$B18)))/(3.6*0.01*(100-Grunddata!$B17)*(Grunddata!$B19/100))),0)</f>
        <v>0</v>
      </c>
      <c r="I19" s="26" t="s">
        <v>76</v>
      </c>
      <c r="J19" s="62">
        <f>IF(J22&gt;0,IF(J2&lt;7,((VLOOKUP(J2,Maskindata!$A835:$E857,3)*J10*J11*(J12/100)+(J42*J10*Grunddata!$B18)))/(3.6*0.01*(100-Grunddata!$B17)*(Grunddata!$B19/100)),((VLOOKUP(J2,Maskindata!$A835:$E857,4)*J10*J11+(J42*J10*Grunddata!$B18)))/(3.6*0.01*(100-Grunddata!$B17)*(Grunddata!$B19/100))),0)</f>
        <v>27.77777777777777</v>
      </c>
      <c r="K19" s="62">
        <f>IF(K22&gt;0,IF(K2&lt;7,((VLOOKUP(K2,Maskindata!$A835:$E857,3)*K10*K11*(K12/100)+(K42*K10*Grunddata!$B18)))/(3.6*0.01*(100-Grunddata!$B17)*(Grunddata!$B19/100)),((VLOOKUP(K2,Maskindata!$A835:$E857,4)*K10*K11+(K42*K10*Grunddata!$B18)))/(3.6*0.01*(100-Grunddata!$B17)*(Grunddata!$B19/100))),0)</f>
        <v>0</v>
      </c>
      <c r="L19" s="62">
        <f>IF(L22&gt;0,IF(L2&lt;7,((VLOOKUP(L2,Maskindata!$A835:$E857,3)*L10*L11*(L12/100)+(L42*L10*Grunddata!$B18)))/(3.6*0.01*(100-Grunddata!$B17)*(Grunddata!$B19/100)),((VLOOKUP(L2,Maskindata!$A835:$E857,4)*L10*L11+(L42*L10*Grunddata!$B18)))/(3.6*0.01*(100-Grunddata!$B17)*(Grunddata!$B19/100))),0)</f>
        <v>0</v>
      </c>
      <c r="M19" s="62">
        <f>IF(M22&gt;0,IF(M2&lt;7,((VLOOKUP(M2,Maskindata!$A835:$E857,3)*M10*M11*(M12/100)+(M42*M10*Grunddata!$B18)))/(3.6*0.01*(100-Grunddata!$B17)*(Grunddata!$B19/100)),((VLOOKUP(M2,Maskindata!$A835:$E857,4)*M10*M11+(M42*M10*Grunddata!$B18)))/(3.6*0.01*(100-Grunddata!$B17)*(Grunddata!$B19/100))),0)</f>
        <v>0</v>
      </c>
      <c r="N19" s="62">
        <f>IF(N22&gt;0,IF(N2&lt;7,((VLOOKUP(N2,Maskindata!$A835:$E857,3)*N10*N11*(N12/100)+(N42*N10*Grunddata!$B18)))/(3.6*0.01*(100-Grunddata!$B17)*(Grunddata!$B19/100)),((VLOOKUP(N2,Maskindata!$A835:$E857,4)*N10*N11+(N42*N10*Grunddata!$B18)))/(3.6*0.01*(100-Grunddata!$B17)*(Grunddata!$B19/100))),0)</f>
        <v>0</v>
      </c>
      <c r="O19" s="62">
        <f>IF(O22&gt;0,IF(O2&lt;7,((VLOOKUP(O2,Maskindata!$A835:$E857,3)*O10*O11*(O12/100)+(O42*O10*Grunddata!$B18)))/(3.6*0.01*(100-Grunddata!$B17)*(Grunddata!$B19/100)),((VLOOKUP(O2,Maskindata!$A835:$E857,4)*O10*O11+(O42*O10*Grunddata!$B18)))/(3.6*0.01*(100-Grunddata!$B17)*(Grunddata!$B19/100))),0)</f>
        <v>0</v>
      </c>
      <c r="P19" s="62">
        <f>IF(P22&gt;0,IF(P2&lt;7,((VLOOKUP(P2,Maskindata!$A835:$E857,3)*P10*P11*(P12/100)+(P42*P10*Grunddata!$B18)))/(3.6*0.01*(100-Grunddata!$B17)*(Grunddata!$B19/100)),((VLOOKUP(P2,Maskindata!$A835:$E857,4)*P10*P11+(P42*P10*Grunddata!$B18)))/(3.6*0.01*(100-Grunddata!$B17)*(Grunddata!$B19/100))),0)</f>
        <v>0</v>
      </c>
      <c r="Q19" s="23"/>
      <c r="R19" s="23"/>
      <c r="S19" s="23"/>
      <c r="T19" s="23"/>
      <c r="U19" s="23"/>
      <c r="V19" s="23"/>
      <c r="W19" s="23"/>
      <c r="X19" s="23"/>
      <c r="Y19" s="23"/>
      <c r="Z19" s="23"/>
      <c r="AA19" s="23"/>
      <c r="AB19" s="23"/>
    </row>
    <row r="20" spans="1:16" s="24" customFormat="1" ht="12" customHeight="1">
      <c r="A20" s="27" t="s">
        <v>5</v>
      </c>
      <c r="B20" s="43">
        <v>0.4</v>
      </c>
      <c r="C20" s="43">
        <v>0.4</v>
      </c>
      <c r="D20" s="43">
        <v>0.4</v>
      </c>
      <c r="E20" s="43">
        <v>0.4</v>
      </c>
      <c r="F20" s="43">
        <v>0.4</v>
      </c>
      <c r="G20" s="43">
        <v>0.15</v>
      </c>
      <c r="H20" s="43">
        <v>0.4</v>
      </c>
      <c r="I20" s="27" t="s">
        <v>5</v>
      </c>
      <c r="J20" s="43">
        <v>0.4</v>
      </c>
      <c r="K20" s="43">
        <v>0.4</v>
      </c>
      <c r="L20" s="43">
        <v>0.4</v>
      </c>
      <c r="M20" s="43">
        <v>0.4</v>
      </c>
      <c r="N20" s="43">
        <v>0.4</v>
      </c>
      <c r="O20" s="43">
        <v>0.4</v>
      </c>
      <c r="P20" s="43">
        <v>0.4</v>
      </c>
    </row>
    <row r="21" spans="1:28" ht="12" customHeight="1">
      <c r="A21" s="26" t="s">
        <v>1</v>
      </c>
      <c r="B21" s="40">
        <v>20</v>
      </c>
      <c r="C21" s="40">
        <v>20</v>
      </c>
      <c r="D21" s="40">
        <v>20</v>
      </c>
      <c r="E21" s="40">
        <v>30</v>
      </c>
      <c r="F21" s="40">
        <v>30</v>
      </c>
      <c r="G21" s="40">
        <v>30</v>
      </c>
      <c r="H21" s="40">
        <v>0</v>
      </c>
      <c r="I21" s="26" t="s">
        <v>1</v>
      </c>
      <c r="J21" s="42"/>
      <c r="K21" s="42"/>
      <c r="L21" s="42"/>
      <c r="M21" s="42"/>
      <c r="N21" s="42"/>
      <c r="O21" s="42"/>
      <c r="P21" s="42"/>
      <c r="Q21" s="23"/>
      <c r="R21" s="23"/>
      <c r="S21" s="23"/>
      <c r="T21" s="23"/>
      <c r="U21" s="23"/>
      <c r="V21" s="23"/>
      <c r="W21" s="23"/>
      <c r="X21" s="23"/>
      <c r="Y21" s="23"/>
      <c r="Z21" s="23"/>
      <c r="AA21" s="23"/>
      <c r="AB21" s="23"/>
    </row>
    <row r="22" spans="1:28" ht="12" customHeight="1">
      <c r="A22" s="26" t="s">
        <v>243</v>
      </c>
      <c r="B22" s="41">
        <v>1</v>
      </c>
      <c r="C22" s="41">
        <v>2</v>
      </c>
      <c r="D22" s="41">
        <v>1</v>
      </c>
      <c r="E22" s="41">
        <v>2</v>
      </c>
      <c r="F22" s="41">
        <v>2</v>
      </c>
      <c r="G22" s="41">
        <v>0</v>
      </c>
      <c r="H22" s="41">
        <v>2</v>
      </c>
      <c r="I22" s="26" t="s">
        <v>126</v>
      </c>
      <c r="J22" s="42">
        <v>1</v>
      </c>
      <c r="K22" s="42">
        <v>1</v>
      </c>
      <c r="L22" s="42">
        <v>1</v>
      </c>
      <c r="M22" s="42">
        <v>1</v>
      </c>
      <c r="N22" s="42">
        <v>1</v>
      </c>
      <c r="O22" s="42">
        <v>1</v>
      </c>
      <c r="P22" s="42">
        <v>1</v>
      </c>
      <c r="Q22" s="23"/>
      <c r="R22" s="23"/>
      <c r="S22" s="23"/>
      <c r="T22" s="23"/>
      <c r="U22" s="23"/>
      <c r="V22" s="23"/>
      <c r="W22" s="23"/>
      <c r="X22" s="23"/>
      <c r="Y22" s="23"/>
      <c r="Z22" s="23"/>
      <c r="AA22" s="23"/>
      <c r="AB22" s="23"/>
    </row>
    <row r="23" spans="1:28" ht="12" customHeight="1">
      <c r="A23" s="28" t="s">
        <v>7</v>
      </c>
      <c r="B23" s="22"/>
      <c r="C23" s="22"/>
      <c r="D23" s="22"/>
      <c r="E23" s="22"/>
      <c r="F23" s="22"/>
      <c r="G23" s="22"/>
      <c r="H23" s="22"/>
      <c r="I23" s="28" t="s">
        <v>7</v>
      </c>
      <c r="J23" s="42"/>
      <c r="K23" s="42"/>
      <c r="L23" s="42"/>
      <c r="M23" s="42"/>
      <c r="N23" s="42"/>
      <c r="O23" s="42"/>
      <c r="P23" s="42"/>
      <c r="Q23" s="23"/>
      <c r="R23" s="23"/>
      <c r="S23" s="23"/>
      <c r="T23" s="23"/>
      <c r="U23" s="23"/>
      <c r="V23" s="23"/>
      <c r="W23" s="23"/>
      <c r="X23" s="23"/>
      <c r="Y23" s="23"/>
      <c r="Z23" s="23"/>
      <c r="AA23" s="23"/>
      <c r="AB23" s="23"/>
    </row>
    <row r="24" spans="1:28" ht="12" customHeight="1">
      <c r="A24" s="26" t="s">
        <v>8</v>
      </c>
      <c r="B24" s="62">
        <f>IF(B7&gt;0,(IF(B6&gt;0,(B6-B8)/B7,(B5-B8)/B7)),0)</f>
        <v>8718.914483124998</v>
      </c>
      <c r="C24" s="62">
        <f aca="true" t="shared" si="5" ref="C24:H24">IF(C7&gt;0,(IF(C6&gt;0,(C6-C8)/C7,(C5-C8)/C7)),0)</f>
        <v>31705.143574999995</v>
      </c>
      <c r="D24" s="62">
        <f t="shared" si="5"/>
        <v>7926.285893749999</v>
      </c>
      <c r="E24" s="62">
        <f t="shared" si="5"/>
        <v>0</v>
      </c>
      <c r="F24" s="62">
        <f t="shared" si="5"/>
        <v>0</v>
      </c>
      <c r="G24" s="62">
        <f t="shared" si="5"/>
        <v>0</v>
      </c>
      <c r="H24" s="62">
        <f t="shared" si="5"/>
        <v>0</v>
      </c>
      <c r="I24" s="26" t="s">
        <v>8</v>
      </c>
      <c r="J24" s="62">
        <f aca="true" t="shared" si="6" ref="J24:P24">IF(J7&gt;0,(IF(J6&gt;0,(J6-J8)/J7,(J5-J8)/J7)),0)</f>
        <v>0</v>
      </c>
      <c r="K24" s="62">
        <f t="shared" si="6"/>
        <v>0</v>
      </c>
      <c r="L24" s="62">
        <f t="shared" si="6"/>
        <v>0</v>
      </c>
      <c r="M24" s="62">
        <f t="shared" si="6"/>
        <v>0</v>
      </c>
      <c r="N24" s="62">
        <f t="shared" si="6"/>
        <v>0</v>
      </c>
      <c r="O24" s="62">
        <f t="shared" si="6"/>
        <v>0</v>
      </c>
      <c r="P24" s="62">
        <f t="shared" si="6"/>
        <v>0</v>
      </c>
      <c r="Q24" s="23"/>
      <c r="R24" s="23"/>
      <c r="S24" s="23"/>
      <c r="T24" s="23"/>
      <c r="U24" s="23"/>
      <c r="V24" s="23"/>
      <c r="W24" s="23"/>
      <c r="X24" s="23"/>
      <c r="Y24" s="23"/>
      <c r="Z24" s="23"/>
      <c r="AA24" s="23"/>
      <c r="AB24" s="23"/>
    </row>
    <row r="25" spans="1:28" ht="12" customHeight="1">
      <c r="A25" s="26" t="s">
        <v>9</v>
      </c>
      <c r="B25" s="62">
        <f>IF(B7&gt;0,(IF(B6&gt;0,Grunddata!$B4*(B6+B8)/200,Grunddata!$B4*(B5+B8)/200)),0)</f>
        <v>3756.217103375</v>
      </c>
      <c r="C25" s="62">
        <f>IF(C7&gt;0,(IF(C6&gt;0,Grunddata!$B4*(C6+C8)/200,Grunddata!$B4*(C5+C8)/200)),0)</f>
        <v>13658.971285000001</v>
      </c>
      <c r="D25" s="62">
        <f>IF(D7&gt;0,(IF(D6&gt;0,Grunddata!$B4*(D6+D8)/200,Grunddata!$B4*(D5+D8)/200)),0)</f>
        <v>3414.7428212500004</v>
      </c>
      <c r="E25" s="62">
        <f>IF(E7&gt;0,(IF(E6&gt;0,Grunddata!$B4*(E6+E8)/200,Grunddata!$B4*(E5+E8)/200)),0)</f>
        <v>0</v>
      </c>
      <c r="F25" s="62">
        <f>IF(F7&gt;0,(IF(F6&gt;0,Grunddata!$B4*(F6+F8)/200,Grunddata!$B4*(F5+F8)/200)),0)</f>
        <v>0</v>
      </c>
      <c r="G25" s="62">
        <f>IF(G7&gt;0,(IF(G6&gt;0,Grunddata!$B4*(G6+G8)/200,Grunddata!$B4*(G5+G8)/200)),0)</f>
        <v>0</v>
      </c>
      <c r="H25" s="62">
        <f>IF(H7&gt;0,(IF(H6&gt;0,Grunddata!$B4*(H6+H8)/200,Grunddata!$B4*(H5+H8)/200)),0)</f>
        <v>0</v>
      </c>
      <c r="I25" s="26" t="s">
        <v>9</v>
      </c>
      <c r="J25" s="62">
        <f>IF(J7&gt;0,(IF(J6&gt;0,Grunddata!$B4*(J6+J8)/200,Grunddata!$B4*(J5+J8)/200)),0)</f>
        <v>0</v>
      </c>
      <c r="K25" s="62">
        <f>IF(K7&gt;0,(IF(K6&gt;0,Grunddata!$B4*(K6+K8)/200,Grunddata!$B4*(K5+K8)/200)),0)</f>
        <v>0</v>
      </c>
      <c r="L25" s="62">
        <f>IF(L7&gt;0,(IF(L6&gt;0,Grunddata!$B4*(L6+L8)/200,Grunddata!$B4*(L5+L8)/200)),0)</f>
        <v>0</v>
      </c>
      <c r="M25" s="62">
        <f>IF(M7&gt;0,(IF(M6&gt;0,Grunddata!$B4*(M6+M8)/200,Grunddata!$B4*(M5+M8)/200)),0)</f>
        <v>0</v>
      </c>
      <c r="N25" s="62">
        <f>IF(N7&gt;0,(IF(N6&gt;0,Grunddata!$B4*(N6+N8)/200,Grunddata!$B4*(N5+N8)/200)),0)</f>
        <v>0</v>
      </c>
      <c r="O25" s="62">
        <f>IF(O7&gt;0,(IF(O6&gt;0,Grunddata!$B4*(O6+O8)/200,Grunddata!$B4*(O5+O8)/200)),0)</f>
        <v>0</v>
      </c>
      <c r="P25" s="62">
        <f>IF(P7&gt;0,(IF(P6&gt;0,Grunddata!$B4*(P6+P8)/200,Grunddata!$B4*(P5+P8)/200)),0)</f>
        <v>0</v>
      </c>
      <c r="Q25" s="23"/>
      <c r="R25" s="23"/>
      <c r="S25" s="23"/>
      <c r="T25" s="23"/>
      <c r="U25" s="23"/>
      <c r="V25" s="23"/>
      <c r="W25" s="23"/>
      <c r="X25" s="23"/>
      <c r="Y25" s="23"/>
      <c r="Z25" s="23"/>
      <c r="AA25" s="23"/>
      <c r="AB25" s="23"/>
    </row>
    <row r="26" spans="1:28" ht="12" customHeight="1">
      <c r="A26" s="26" t="s">
        <v>4</v>
      </c>
      <c r="B26" s="62">
        <f>IF(B7&gt;0,B5*B16*B20/1000,0)</f>
        <v>9548.61111111111</v>
      </c>
      <c r="C26" s="62">
        <f aca="true" t="shared" si="7" ref="C26:H26">IF(C7&gt;0,C5*C16*C20/1000,0)</f>
        <v>0</v>
      </c>
      <c r="D26" s="62">
        <f t="shared" si="7"/>
        <v>0</v>
      </c>
      <c r="E26" s="62">
        <f t="shared" si="7"/>
        <v>0</v>
      </c>
      <c r="F26" s="62">
        <f t="shared" si="7"/>
        <v>0</v>
      </c>
      <c r="G26" s="62">
        <f t="shared" si="7"/>
        <v>0</v>
      </c>
      <c r="H26" s="62">
        <f t="shared" si="7"/>
        <v>0</v>
      </c>
      <c r="I26" s="26" t="s">
        <v>4</v>
      </c>
      <c r="J26" s="62">
        <f aca="true" t="shared" si="8" ref="J26:P26">IF(J7&gt;0,J5*J16*J20/1000,0)</f>
        <v>0</v>
      </c>
      <c r="K26" s="62">
        <f t="shared" si="8"/>
        <v>0</v>
      </c>
      <c r="L26" s="62">
        <f t="shared" si="8"/>
        <v>0</v>
      </c>
      <c r="M26" s="62">
        <f t="shared" si="8"/>
        <v>0</v>
      </c>
      <c r="N26" s="62">
        <f t="shared" si="8"/>
        <v>0</v>
      </c>
      <c r="O26" s="62">
        <f t="shared" si="8"/>
        <v>0</v>
      </c>
      <c r="P26" s="62">
        <f t="shared" si="8"/>
        <v>0</v>
      </c>
      <c r="Q26" s="23"/>
      <c r="R26" s="23"/>
      <c r="S26" s="23"/>
      <c r="T26" s="23"/>
      <c r="U26" s="23"/>
      <c r="V26" s="23"/>
      <c r="W26" s="23"/>
      <c r="X26" s="23"/>
      <c r="Y26" s="23"/>
      <c r="Z26" s="23"/>
      <c r="AA26" s="23"/>
      <c r="AB26" s="23"/>
    </row>
    <row r="27" spans="1:28" ht="12" customHeight="1">
      <c r="A27" s="26" t="s">
        <v>10</v>
      </c>
      <c r="B27" s="62">
        <f>IF(B7&gt;0,Grunddata!$B5*B16,0)</f>
        <v>39062.5</v>
      </c>
      <c r="C27" s="62">
        <f>IF(C7&gt;0,Grunddata!$B5*C16,0)</f>
        <v>0</v>
      </c>
      <c r="D27" s="62">
        <f>IF(D7&gt;0,Grunddata!$B5*D16,0)</f>
        <v>0</v>
      </c>
      <c r="E27" s="62">
        <f>IF(E7&gt;0,Grunddata!$B5*E16,0)</f>
        <v>0</v>
      </c>
      <c r="F27" s="62">
        <f>IF(F7&gt;0,Grunddata!$B5*F16,0)</f>
        <v>0</v>
      </c>
      <c r="G27" s="62">
        <f>IF(G7&gt;0,Grunddata!$B5*G16,0)</f>
        <v>0</v>
      </c>
      <c r="H27" s="62">
        <f>IF(H7&gt;0,Grunddata!$B5*H16,0)</f>
        <v>0</v>
      </c>
      <c r="I27" s="26" t="s">
        <v>10</v>
      </c>
      <c r="J27" s="62">
        <f>IF(J7&gt;0,Grunddata!$B5*J16,0)</f>
        <v>0</v>
      </c>
      <c r="K27" s="62">
        <f>IF(K7&gt;0,Grunddata!$B5*K16,0)</f>
        <v>0</v>
      </c>
      <c r="L27" s="62">
        <f>IF(L7&gt;0,Grunddata!$B5*L16,0)</f>
        <v>0</v>
      </c>
      <c r="M27" s="62">
        <f>IF(M7&gt;0,Grunddata!$B5*M16,0)</f>
        <v>0</v>
      </c>
      <c r="N27" s="62">
        <f>IF(N7&gt;0,Grunddata!$B5*N16,0)</f>
        <v>0</v>
      </c>
      <c r="O27" s="62">
        <f>IF(O7&gt;0,Grunddata!$B5*O16,0)</f>
        <v>0</v>
      </c>
      <c r="P27" s="62">
        <f>IF(P7&gt;0,Grunddata!$B5*P16,0)</f>
        <v>0</v>
      </c>
      <c r="Q27" s="23"/>
      <c r="R27" s="23"/>
      <c r="S27" s="23"/>
      <c r="T27" s="23"/>
      <c r="U27" s="23"/>
      <c r="V27" s="23"/>
      <c r="W27" s="23"/>
      <c r="X27" s="23"/>
      <c r="Y27" s="23"/>
      <c r="Z27" s="23"/>
      <c r="AA27" s="23"/>
      <c r="AB27" s="23"/>
    </row>
    <row r="28" spans="1:28" ht="12" customHeight="1">
      <c r="A28" s="26" t="s">
        <v>14</v>
      </c>
      <c r="B28" s="62">
        <f>IF(B7&gt;0,IF(B18&gt;0,Grunddata!$B6*(100+Grunddata!$B8)/100*B18*B16*B15,Grunddata!$B6*(Grunddata!$B8+100)/100*B16*B17*B15),0)</f>
        <v>31294.46022727273</v>
      </c>
      <c r="C28" s="62">
        <f>IF(C7&gt;0,IF(C18&gt;0,Grunddata!$B6*(100+Grunddata!$B8)/100*C18*C16*C15,Grunddata!$B6*(Grunddata!$B8+100)/100*C16*C17*C15),0)</f>
        <v>0</v>
      </c>
      <c r="D28" s="62">
        <f>IF(D7&gt;0,IF(D18&gt;0,Grunddata!$B6*(100+Grunddata!$B8)/100*D18*D16*D15,Grunddata!$B6*(Grunddata!$B8+100)/100*D16*D17*D15),0)</f>
        <v>0</v>
      </c>
      <c r="E28" s="62">
        <f>IF(E7&gt;0,IF(E18&gt;0,Grunddata!$B6*(100+Grunddata!$B8)/100*E18*E16*E15,Grunddata!$B6*(Grunddata!$B8+100)/100*E16*E17*E15),0)</f>
        <v>0</v>
      </c>
      <c r="F28" s="62">
        <f>IF(F7&gt;0,IF(F18&gt;0,Grunddata!$B6*(100+Grunddata!$B8)/100*F18*F16*F15,Grunddata!$B6*(Grunddata!$B8+100)/100*F16*F17*F15),0)</f>
        <v>0</v>
      </c>
      <c r="G28" s="62">
        <f>IF(G7&gt;0,IF(G18&gt;0,Grunddata!$B6*(100+Grunddata!$B8)/100*G18*G16*G15,Grunddata!$B6*(Grunddata!$B8+100)/100*G16*G17*G15),0)</f>
        <v>0</v>
      </c>
      <c r="H28" s="62">
        <f>IF(H7&gt;0,IF(H18&gt;0,Grunddata!$B6*(100+Grunddata!$B8)/100*H18*H16*H15,Grunddata!$B6*(Grunddata!$B8+100)/100*H16*H17*H15),0)</f>
        <v>0</v>
      </c>
      <c r="I28" s="26" t="s">
        <v>14</v>
      </c>
      <c r="J28" s="62">
        <f>IF(J7&gt;0,IF(J18&gt;0,Grunddata!$B6*(100+Grunddata!$B8)/100*J18*J16*J15,Grunddata!$B6*(Grunddata!$B8+100)/100*J16*J17*J15),0)</f>
        <v>0</v>
      </c>
      <c r="K28" s="62">
        <f>IF(K7&gt;0,IF(K18&gt;0,Grunddata!$B6*(100+Grunddata!$B8)/100*K18*K16*K15,Grunddata!$B6*(Grunddata!$B8+100)/100*K16*K17*K15),0)</f>
        <v>0</v>
      </c>
      <c r="L28" s="62">
        <f>IF(L7&gt;0,IF(L18&gt;0,Grunddata!$B6*(100+Grunddata!$B8)/100*L18*L16*L15,Grunddata!$B6*(Grunddata!$B8+100)/100*L16*L17*L15),0)</f>
        <v>0</v>
      </c>
      <c r="M28" s="62">
        <f>IF(M7&gt;0,IF(M18&gt;0,Grunddata!$B6*(100+Grunddata!$B8)/100*M18*M16*M15,Grunddata!$B6*(Grunddata!$B8+100)/100*M16*M17*M15),0)</f>
        <v>0</v>
      </c>
      <c r="N28" s="62">
        <f>IF(N7&gt;0,IF(N18&gt;0,Grunddata!$B6*(100+Grunddata!$B8)/100*N18*N16*N15,Grunddata!$B6*(Grunddata!$B8+100)/100*N16*N17*N15),0)</f>
        <v>0</v>
      </c>
      <c r="O28" s="62">
        <f>IF(O7&gt;0,IF(O18&gt;0,Grunddata!$B6*(100+Grunddata!$B8)/100*O18*O16,Grunddata!$B6*(Grunddata!$B8+100)/100*O16*O17),0)</f>
        <v>0</v>
      </c>
      <c r="P28" s="62">
        <f>IF(P7&gt;0,IF(P18&gt;0,Grunddata!$B6*(100+Grunddata!$B8)/100*P18*P16,Grunddata!$B6*(Grunddata!$B8+100)/100*P16*P17),0)</f>
        <v>0</v>
      </c>
      <c r="Q28" s="23"/>
      <c r="R28" s="23"/>
      <c r="S28" s="23"/>
      <c r="T28" s="23"/>
      <c r="U28" s="23"/>
      <c r="V28" s="23"/>
      <c r="W28" s="23"/>
      <c r="X28" s="23"/>
      <c r="Y28" s="23"/>
      <c r="Z28" s="23"/>
      <c r="AA28" s="23"/>
      <c r="AB28" s="23"/>
    </row>
    <row r="29" spans="1:28" ht="12" customHeight="1">
      <c r="A29" s="26" t="s">
        <v>127</v>
      </c>
      <c r="B29" s="62">
        <f>IF(B7&gt;0,Grunddata!$B7*B21,0)</f>
        <v>1000</v>
      </c>
      <c r="C29" s="62">
        <f>IF(C7&gt;0,Grunddata!$B7*C21,0)</f>
        <v>1000</v>
      </c>
      <c r="D29" s="62">
        <f>IF(D7&gt;0,Grunddata!$B7*D21,0)</f>
        <v>1000</v>
      </c>
      <c r="E29" s="62">
        <f>IF(E7&gt;0,Grunddata!$B7*E21,0)</f>
        <v>0</v>
      </c>
      <c r="F29" s="62">
        <f>IF(F7&gt;0,Grunddata!$B7*F21,0)</f>
        <v>0</v>
      </c>
      <c r="G29" s="62">
        <f>IF(G7&gt;0,Grunddata!$B7*G21,0)</f>
        <v>0</v>
      </c>
      <c r="H29" s="62">
        <f>IF(H7&gt;0,Grunddata!$B7*H21,0)</f>
        <v>0</v>
      </c>
      <c r="I29" s="26" t="s">
        <v>127</v>
      </c>
      <c r="J29" s="62">
        <f>IF(J7&gt;0,Grunddata!$B7*J21,0)</f>
        <v>0</v>
      </c>
      <c r="K29" s="62">
        <f>IF(K7&gt;0,Grunddata!$B7*K21,0)</f>
        <v>0</v>
      </c>
      <c r="L29" s="62">
        <f>IF(L7&gt;0,Grunddata!$B7*L21,0)</f>
        <v>0</v>
      </c>
      <c r="M29" s="62">
        <f>IF(M7&gt;0,Grunddata!$B7*M21,0)</f>
        <v>0</v>
      </c>
      <c r="N29" s="62">
        <f>IF(N7&gt;0,Grunddata!$B7*N21,0)</f>
        <v>0</v>
      </c>
      <c r="O29" s="62">
        <f>IF(O7&gt;0,Grunddata!$B7*O21,0)</f>
        <v>0</v>
      </c>
      <c r="P29" s="62">
        <f>IF(P7&gt;0,Grunddata!$B7*P21,0)</f>
        <v>0</v>
      </c>
      <c r="Q29" s="23"/>
      <c r="R29" s="23"/>
      <c r="S29" s="23"/>
      <c r="T29" s="23"/>
      <c r="U29" s="23"/>
      <c r="V29" s="23"/>
      <c r="W29" s="23"/>
      <c r="X29" s="23"/>
      <c r="Y29" s="23"/>
      <c r="Z29" s="23"/>
      <c r="AA29" s="23"/>
      <c r="AB29" s="23"/>
    </row>
    <row r="30" spans="1:28" ht="12" customHeight="1">
      <c r="A30" s="26" t="s">
        <v>224</v>
      </c>
      <c r="B30" s="62">
        <f>IF(B7&gt;0,(IF(B16&gt;0,VLOOKUP(B22,Traktorkalkyl!$H1:$I10,2),0))*B16,0)</f>
        <v>74336.25413665101</v>
      </c>
      <c r="C30" s="62">
        <f>IF(C7&gt;0,(IF(C16&gt;0,VLOOKUP(C22,Traktorkalkyl!$H1:$I10,2),0))*C16,0)</f>
        <v>0</v>
      </c>
      <c r="D30" s="62">
        <f>IF(D7&gt;0,(IF(D16&gt;0,VLOOKUP(D22,Traktorkalkyl!$H1:$I10,2),0))*D16,0)</f>
        <v>0</v>
      </c>
      <c r="E30" s="62">
        <f>IF(E7&gt;0,(IF(E16&gt;0,VLOOKUP(E22,Traktorkalkyl!$H1:$I10,2),0))*E16,0)</f>
        <v>0</v>
      </c>
      <c r="F30" s="62">
        <f>IF(F7&gt;0,(IF(F16&gt;0,VLOOKUP(F22,Traktorkalkyl!$H1:$I10,2),0))*F16,0)</f>
        <v>0</v>
      </c>
      <c r="G30" s="62">
        <f>IF(G7&gt;0,(IF(G16&gt;0,VLOOKUP(G22,Traktorkalkyl!$H1:$I10,2),0))*G16,0)</f>
        <v>0</v>
      </c>
      <c r="H30" s="62">
        <f>IF(H7&gt;0,(IF(H16&gt;0,VLOOKUP(H22,Traktorkalkyl!$H1:$I10,2),0))*H16,0)</f>
        <v>0</v>
      </c>
      <c r="I30" s="26" t="s">
        <v>224</v>
      </c>
      <c r="J30" s="62">
        <f>IF(J7&gt;0,(IF(J16&gt;0,VLOOKUP(J22,Traktorkalkyl!$H1:$I10,2),0))*J16,0)</f>
        <v>0</v>
      </c>
      <c r="K30" s="62">
        <f>IF(K7&gt;0,(IF(K16&gt;0,VLOOKUP(K22,Traktorkalkyl!$H1:$I10,2),0))*K16,0)</f>
        <v>0</v>
      </c>
      <c r="L30" s="62">
        <f>IF(L7&gt;0,(IF(L16&gt;0,VLOOKUP(L22,Traktorkalkyl!$H1:$I10,2),0))*L16,0)</f>
        <v>0</v>
      </c>
      <c r="M30" s="62">
        <f>IF(M7&gt;0,(IF(M16&gt;0,VLOOKUP(M22,Traktorkalkyl!$H1:$I10,2),0))*M16,0)</f>
        <v>0</v>
      </c>
      <c r="N30" s="62">
        <f>IF(N7&gt;0,(IF(N16&gt;0,VLOOKUP(N22,Traktorkalkyl!$H1:$I10,2),0))*N16,0)</f>
        <v>0</v>
      </c>
      <c r="O30" s="62">
        <f>IF(O7&gt;0,(IF(O16&gt;0,VLOOKUP(O22,Traktorkalkyl!$H1:$I10,2),0))*O16,0)</f>
        <v>0</v>
      </c>
      <c r="P30" s="62">
        <f>IF(P7&gt;0,(IF(P16&gt;0,VLOOKUP(P22,Traktorkalkyl!$H1:$I10,2),0))*P16,0)</f>
        <v>0</v>
      </c>
      <c r="Q30" s="23"/>
      <c r="R30" s="23"/>
      <c r="S30" s="23"/>
      <c r="T30" s="23"/>
      <c r="U30" s="23"/>
      <c r="V30" s="23"/>
      <c r="W30" s="23"/>
      <c r="X30" s="23"/>
      <c r="Y30" s="23"/>
      <c r="Z30" s="23"/>
      <c r="AA30" s="23"/>
      <c r="AB30" s="23"/>
    </row>
    <row r="31" spans="1:28" ht="12" customHeight="1">
      <c r="A31" s="26" t="s">
        <v>179</v>
      </c>
      <c r="B31" s="62">
        <f>IF(B7&gt;0,SUM(B24:B30),0)</f>
        <v>167716.95706153486</v>
      </c>
      <c r="C31" s="62">
        <f aca="true" t="shared" si="9" ref="C31:H31">IF(C7&gt;0,SUM(C24:C30),0)</f>
        <v>46364.114859999994</v>
      </c>
      <c r="D31" s="62">
        <f t="shared" si="9"/>
        <v>12341.028714999999</v>
      </c>
      <c r="E31" s="62">
        <f t="shared" si="9"/>
        <v>0</v>
      </c>
      <c r="F31" s="62">
        <f t="shared" si="9"/>
        <v>0</v>
      </c>
      <c r="G31" s="62">
        <f t="shared" si="9"/>
        <v>0</v>
      </c>
      <c r="H31" s="62">
        <f t="shared" si="9"/>
        <v>0</v>
      </c>
      <c r="I31" s="26" t="s">
        <v>179</v>
      </c>
      <c r="J31" s="62">
        <f aca="true" t="shared" si="10" ref="J31:P31">IF(J7&gt;0,SUM(J24:J30),0)</f>
        <v>0</v>
      </c>
      <c r="K31" s="62">
        <f t="shared" si="10"/>
        <v>0</v>
      </c>
      <c r="L31" s="62">
        <f t="shared" si="10"/>
        <v>0</v>
      </c>
      <c r="M31" s="62">
        <f t="shared" si="10"/>
        <v>0</v>
      </c>
      <c r="N31" s="62">
        <f t="shared" si="10"/>
        <v>0</v>
      </c>
      <c r="O31" s="62">
        <f t="shared" si="10"/>
        <v>0</v>
      </c>
      <c r="P31" s="62">
        <f t="shared" si="10"/>
        <v>0</v>
      </c>
      <c r="Q31" s="23"/>
      <c r="R31" s="23"/>
      <c r="S31" s="23"/>
      <c r="T31" s="23"/>
      <c r="U31" s="23"/>
      <c r="V31" s="23"/>
      <c r="W31" s="23"/>
      <c r="X31" s="23"/>
      <c r="Y31" s="23"/>
      <c r="Z31" s="23"/>
      <c r="AA31" s="23"/>
      <c r="AB31" s="23"/>
    </row>
    <row r="32" spans="1:28" ht="12" customHeight="1">
      <c r="A32" s="26" t="s">
        <v>225</v>
      </c>
      <c r="B32" s="62">
        <f>IF(B7&gt;0,IF(B16&gt;0,(B24+B25+B26+B29)/B16,0),0)</f>
        <v>106.09340635059199</v>
      </c>
      <c r="C32" s="62">
        <f aca="true" t="shared" si="11" ref="C32:H32">IF(C7&gt;0,IF(C16&gt;0,(C24+C25+C26+C29)/C16,0),0)</f>
        <v>0</v>
      </c>
      <c r="D32" s="62">
        <f t="shared" si="11"/>
        <v>0</v>
      </c>
      <c r="E32" s="62">
        <f t="shared" si="11"/>
        <v>0</v>
      </c>
      <c r="F32" s="62">
        <f t="shared" si="11"/>
        <v>0</v>
      </c>
      <c r="G32" s="62">
        <f t="shared" si="11"/>
        <v>0</v>
      </c>
      <c r="H32" s="62">
        <f t="shared" si="11"/>
        <v>0</v>
      </c>
      <c r="I32" s="26" t="s">
        <v>225</v>
      </c>
      <c r="J32" s="62">
        <f aca="true" t="shared" si="12" ref="J32:P32">IF(J7&gt;0,IF(J16&gt;0,(J24+J25+J26+J29)/J16,0),0)</f>
        <v>0</v>
      </c>
      <c r="K32" s="62">
        <f t="shared" si="12"/>
        <v>0</v>
      </c>
      <c r="L32" s="62">
        <f t="shared" si="12"/>
        <v>0</v>
      </c>
      <c r="M32" s="62">
        <f t="shared" si="12"/>
        <v>0</v>
      </c>
      <c r="N32" s="62">
        <f t="shared" si="12"/>
        <v>0</v>
      </c>
      <c r="O32" s="62">
        <f t="shared" si="12"/>
        <v>0</v>
      </c>
      <c r="P32" s="62">
        <f t="shared" si="12"/>
        <v>0</v>
      </c>
      <c r="Q32" s="23"/>
      <c r="R32" s="23"/>
      <c r="S32" s="23"/>
      <c r="T32" s="23"/>
      <c r="U32" s="23"/>
      <c r="V32" s="23"/>
      <c r="W32" s="23"/>
      <c r="X32" s="23"/>
      <c r="Y32" s="23"/>
      <c r="Z32" s="23"/>
      <c r="AA32" s="23"/>
      <c r="AB32" s="23"/>
    </row>
    <row r="33" spans="1:28" ht="12" customHeight="1">
      <c r="A33" s="26" t="s">
        <v>226</v>
      </c>
      <c r="B33" s="62">
        <f>IF(B7&gt;0,IF(B18=0,(Grunddata!$B6*(100+Grunddata!$B8)*B17/100*B15),(Grunddata!$B6*(100+Grunddata!$B8)*B18/100*B15)),0)</f>
        <v>144.20487272727274</v>
      </c>
      <c r="C33" s="62">
        <f>IF(C7&gt;0,IF(C18=0,(Grunddata!$B6*(100+Grunddata!$B8)*C17/100*C15),(Grunddata!$B6*(100+Grunddata!$B8)*C18/100*C15)),0)</f>
        <v>126.39375</v>
      </c>
      <c r="D33" s="62">
        <f>IF(D7&gt;0,IF(D18=0,(Grunddata!$B6*(100+Grunddata!$B8)*D17/100*D15),(Grunddata!$B6*(100+Grunddata!$B8)*D18/100*D15)),0)</f>
        <v>82.07386363636363</v>
      </c>
      <c r="E33" s="62">
        <f>IF(E7&gt;0,IF(E18=0,(Grunddata!$B6*(100+Grunddata!$B8)*E17/100*E15),(Grunddata!$B6*(100+Grunddata!$B8)*E18/100*E15)),0)</f>
        <v>0</v>
      </c>
      <c r="F33" s="62">
        <f>IF(F7&gt;0,IF(F18=0,(Grunddata!$B6*(100+Grunddata!$B8)*F17/100*F15),(Grunddata!$B6*(100+Grunddata!$B8)*F18/100*F15)),0)</f>
        <v>0</v>
      </c>
      <c r="G33" s="62">
        <f>IF(G7&gt;0,IF(G18=0,(Grunddata!$B6*(100+Grunddata!$B8)*G17/100*G15),(Grunddata!$B6*(100+Grunddata!$B8)*G18/100*G15)),0)</f>
        <v>0</v>
      </c>
      <c r="H33" s="62">
        <f>IF(H7&gt;0,IF(H18=0,(Grunddata!$B6*(100+Grunddata!$B8)*H17/100*H15),(Grunddata!$B6*(100+Grunddata!$B8)*H18/100*H15)),0)</f>
        <v>0</v>
      </c>
      <c r="I33" s="26" t="s">
        <v>226</v>
      </c>
      <c r="J33" s="62">
        <f>IF(J7&gt;0,IF(J18=0,(Grunddata!$B6*(100+Grunddata!$B8)*J17/100*J15),(Grunddata!$B6*(100+Grunddata!$B8)*J18/100*J15)),0)</f>
        <v>0</v>
      </c>
      <c r="K33" s="62">
        <f>IF(K7&gt;0,IF(K18=0,(Grunddata!$B6*(100+Grunddata!$B8)*K17/100*K15),(Grunddata!$B6*(100+Grunddata!$B8)*K18/100*K15)),0)</f>
        <v>0</v>
      </c>
      <c r="L33" s="62">
        <f>IF(L7&gt;0,IF(L18=0,(Grunddata!$B6*(100+Grunddata!$B8)*L17/100*L15),(Grunddata!$B6*(100+Grunddata!$B8)*L18/100*L15)),0)</f>
        <v>0</v>
      </c>
      <c r="M33" s="62">
        <f>IF(M7&gt;0,IF(M18=0,(Grunddata!$B6*(100+Grunddata!$B8)*M17/100*M15),(Grunddata!$B6*(100+Grunddata!$B8)*M18/100*M15)),0)</f>
        <v>0</v>
      </c>
      <c r="N33" s="62">
        <f>IF(N7&gt;0,IF(N18=0,(Grunddata!$B6*(100+Grunddata!$B8)*N17/100),(Grunddata!$B6*(100+Grunddata!$B8)*N18/100)),0)</f>
        <v>0</v>
      </c>
      <c r="O33" s="62">
        <f>IF(O7&gt;0,IF(O18=0,(Grunddata!$B6*(100+Grunddata!$B8)*O17/100),(Grunddata!$B6*(100+Grunddata!$B8)*O18/100)),0)</f>
        <v>0</v>
      </c>
      <c r="P33" s="62">
        <f>IF(P7&gt;0,IF(P18=0,(Grunddata!$B6*(100+Grunddata!$B8)*P17/100),(Grunddata!$B6*(100+Grunddata!$B8)*P18/100)),0)</f>
        <v>0</v>
      </c>
      <c r="Q33" s="23"/>
      <c r="R33" s="23"/>
      <c r="S33" s="23"/>
      <c r="T33" s="23"/>
      <c r="U33" s="23"/>
      <c r="V33" s="23"/>
      <c r="W33" s="23"/>
      <c r="X33" s="23"/>
      <c r="Y33" s="23"/>
      <c r="Z33" s="23"/>
      <c r="AA33" s="23"/>
      <c r="AB33" s="23"/>
    </row>
    <row r="34" spans="1:28" ht="12" customHeight="1">
      <c r="A34" s="26" t="s">
        <v>227</v>
      </c>
      <c r="B34" s="62">
        <f>IF(B7&gt;0,(IF(B16&gt;0,VLOOKUP(B22,Traktorkalkyl!$H1:$I10,2),0)),0)</f>
        <v>342.5414590616879</v>
      </c>
      <c r="C34" s="62">
        <f>IF(C7&gt;0,(IF(C16&gt;0,VLOOKUP(C22,Traktorkalkyl!$H1:$I10,2),0)),0)</f>
        <v>0</v>
      </c>
      <c r="D34" s="62">
        <f>IF(D7&gt;0,(IF(D16&gt;0,VLOOKUP(D22,Traktorkalkyl!$H1:$I10,2),0)),0)</f>
        <v>0</v>
      </c>
      <c r="E34" s="62">
        <f>IF(E7&gt;0,(IF(E16&gt;0,VLOOKUP(E22,Traktorkalkyl!$H1:$I10,2),0)),0)</f>
        <v>0</v>
      </c>
      <c r="F34" s="62">
        <f>IF(F7&gt;0,(IF(F16&gt;0,VLOOKUP(F22,Traktorkalkyl!$H1:$I10,2),0)),0)</f>
        <v>0</v>
      </c>
      <c r="G34" s="62">
        <f>IF(G7&gt;0,(IF(G16&gt;0,VLOOKUP(G22,Traktorkalkyl!$H1:$I10,2),0)),0)</f>
        <v>0</v>
      </c>
      <c r="H34" s="62">
        <f>IF(H7&gt;0,(IF(H16&gt;0,VLOOKUP(H22,Traktorkalkyl!$H1:$I10,2),0)),0)</f>
        <v>0</v>
      </c>
      <c r="I34" s="26" t="s">
        <v>227</v>
      </c>
      <c r="J34" s="62">
        <f>IF(J7&gt;0,(IF(J16&gt;0,VLOOKUP(J22,Traktorkalkyl!$H1:$I10,2),0)),0)</f>
        <v>0</v>
      </c>
      <c r="K34" s="62">
        <f>IF(K7&gt;0,(IF(K16&gt;0,VLOOKUP(K22,Traktorkalkyl!$H1:$I10,2),0)),0)</f>
        <v>0</v>
      </c>
      <c r="L34" s="62">
        <f>IF(L7&gt;0,(IF(L16&gt;0,VLOOKUP(L22,Traktorkalkyl!$H1:$I10,2),0)),0)</f>
        <v>0</v>
      </c>
      <c r="M34" s="62">
        <f>IF(M7&gt;0,(IF(M16&gt;0,VLOOKUP(M22,Traktorkalkyl!$H1:$I10,2),0)),0)</f>
        <v>0</v>
      </c>
      <c r="N34" s="62">
        <f>IF(N7&gt;0,(IF(N16&gt;0,VLOOKUP(N22,Traktorkalkyl!$H1:$I10,2),0)),0)</f>
        <v>0</v>
      </c>
      <c r="O34" s="62">
        <f>IF(O7&gt;0,(IF(O16&gt;0,VLOOKUP(O22,Traktorkalkyl!$H1:$I10,2),0)),0)</f>
        <v>0</v>
      </c>
      <c r="P34" s="62">
        <f>IF(P7&gt;0,(IF(P16&gt;0,VLOOKUP(P22,Traktorkalkyl!$H1:$I10,2),0)),0)</f>
        <v>0</v>
      </c>
      <c r="Q34" s="23"/>
      <c r="R34" s="23"/>
      <c r="S34" s="23"/>
      <c r="T34" s="23"/>
      <c r="U34" s="23"/>
      <c r="V34" s="23"/>
      <c r="W34" s="23"/>
      <c r="X34" s="23"/>
      <c r="Y34" s="23"/>
      <c r="Z34" s="23"/>
      <c r="AA34" s="23"/>
      <c r="AB34" s="23"/>
    </row>
    <row r="35" spans="1:28" ht="12" customHeight="1">
      <c r="A35" s="26" t="s">
        <v>229</v>
      </c>
      <c r="B35" s="62">
        <f>IF(B7&gt;0,IF(B16&gt;0,B32+B33+B34+Grunddata!$B5,0),0)</f>
        <v>772.8397381395525</v>
      </c>
      <c r="C35" s="62">
        <f>IF(C7&gt;0,IF(C16&gt;0,C32+C33+C34+Grunddata!$B5,0),0)</f>
        <v>0</v>
      </c>
      <c r="D35" s="62">
        <f>IF(D7&gt;0,IF(D16&gt;0,D32+D33+D34+Grunddata!$B5,0),0)</f>
        <v>0</v>
      </c>
      <c r="E35" s="62">
        <f>IF(E7&gt;0,IF(E16&gt;0,E32+E33+E34+Grunddata!$B5,0),0)</f>
        <v>0</v>
      </c>
      <c r="F35" s="62">
        <f>IF(F7&gt;0,IF(F16&gt;0,F32+F33+F34+Grunddata!$B5,0),0)</f>
        <v>0</v>
      </c>
      <c r="G35" s="62">
        <f>IF(G7&gt;0,IF(G16&gt;0,G32+G33+G34+Grunddata!$B5,0),0)</f>
        <v>0</v>
      </c>
      <c r="H35" s="62">
        <f>IF(H7&gt;0,IF(H16&gt;0,H32+H33+H34+Grunddata!$B5,0),0)</f>
        <v>0</v>
      </c>
      <c r="I35" s="26" t="s">
        <v>229</v>
      </c>
      <c r="J35" s="62">
        <f>IF(J7&gt;0,IF(J16&gt;0,J32+J33+J34+Grunddata!$B5,0),0)</f>
        <v>0</v>
      </c>
      <c r="K35" s="62">
        <f>IF(K7&gt;0,IF(K16&gt;0,K32+K33+K34+Grunddata!$B5,0),0)</f>
        <v>0</v>
      </c>
      <c r="L35" s="62">
        <f>IF(L7&gt;0,IF(L16&gt;0,L32+L33+L34+Grunddata!$B5,0),0)</f>
        <v>0</v>
      </c>
      <c r="M35" s="62">
        <f>IF(M7&gt;0,IF(M16&gt;0,M32+M33+M34+Grunddata!$B5,0),0)</f>
        <v>0</v>
      </c>
      <c r="N35" s="62">
        <f>IF(N7&gt;0,IF(N16&gt;0,N32+N33+N34+Grunddata!$B5,0),0)</f>
        <v>0</v>
      </c>
      <c r="O35" s="62">
        <f>IF(O7&gt;0,IF(O16&gt;0,O32+O33+O34+Grunddata!$B5,0),0)</f>
        <v>0</v>
      </c>
      <c r="P35" s="62">
        <f>IF(P7&gt;0,IF(P16&gt;0,P32+P33+P34+Grunddata!$B5,0),0)</f>
        <v>0</v>
      </c>
      <c r="Q35" s="23"/>
      <c r="R35" s="23"/>
      <c r="S35" s="23"/>
      <c r="T35" s="23"/>
      <c r="U35" s="23"/>
      <c r="V35" s="23"/>
      <c r="W35" s="23"/>
      <c r="X35" s="23"/>
      <c r="Y35" s="23"/>
      <c r="Z35" s="23"/>
      <c r="AA35" s="23"/>
      <c r="AB35" s="23"/>
    </row>
    <row r="36" spans="1:28" ht="12" customHeight="1">
      <c r="A36" s="26" t="s">
        <v>228</v>
      </c>
      <c r="B36" s="63">
        <f>IF(B7&gt;0,IF(B9&gt;0,B31/B9,0),0)</f>
        <v>838.5847853076743</v>
      </c>
      <c r="C36" s="63">
        <f aca="true" t="shared" si="13" ref="C36:H36">IF(C7&gt;0,IF(C9&gt;0,C31/C9,0),0)</f>
        <v>0</v>
      </c>
      <c r="D36" s="63">
        <f t="shared" si="13"/>
        <v>0</v>
      </c>
      <c r="E36" s="63">
        <f t="shared" si="13"/>
        <v>0</v>
      </c>
      <c r="F36" s="63">
        <f t="shared" si="13"/>
        <v>0</v>
      </c>
      <c r="G36" s="63">
        <f t="shared" si="13"/>
        <v>0</v>
      </c>
      <c r="H36" s="63">
        <f t="shared" si="13"/>
        <v>0</v>
      </c>
      <c r="I36" s="26" t="s">
        <v>228</v>
      </c>
      <c r="J36" s="63">
        <f aca="true" t="shared" si="14" ref="J36:P36">IF(J7&gt;0,IF(J9&gt;0,J31/J9,0),0)</f>
        <v>0</v>
      </c>
      <c r="K36" s="63">
        <f t="shared" si="14"/>
        <v>0</v>
      </c>
      <c r="L36" s="63">
        <f t="shared" si="14"/>
        <v>0</v>
      </c>
      <c r="M36" s="63">
        <f t="shared" si="14"/>
        <v>0</v>
      </c>
      <c r="N36" s="63">
        <f t="shared" si="14"/>
        <v>0</v>
      </c>
      <c r="O36" s="63">
        <f t="shared" si="14"/>
        <v>0</v>
      </c>
      <c r="P36" s="63">
        <f t="shared" si="14"/>
        <v>0</v>
      </c>
      <c r="Q36" s="23"/>
      <c r="R36" s="23"/>
      <c r="S36" s="23"/>
      <c r="T36" s="23"/>
      <c r="U36" s="23"/>
      <c r="V36" s="23"/>
      <c r="W36" s="23"/>
      <c r="X36" s="23"/>
      <c r="Y36" s="23"/>
      <c r="Z36" s="23"/>
      <c r="AA36" s="23"/>
      <c r="AB36" s="23"/>
    </row>
    <row r="42" spans="2:16" ht="12.75">
      <c r="B42">
        <f>VLOOKUP(B22,Traktorkalkyl!$H3:$J8,3)/100</f>
        <v>60</v>
      </c>
      <c r="C42">
        <f>VLOOKUP(C22,Traktorkalkyl!$H3:$J8,3)/100</f>
        <v>0</v>
      </c>
      <c r="D42">
        <f>VLOOKUP(D22,Traktorkalkyl!$H3:$J8,3)/100</f>
        <v>60</v>
      </c>
      <c r="E42">
        <f>VLOOKUP(E22,Traktorkalkyl!$H3:$J8,3)/100</f>
        <v>0</v>
      </c>
      <c r="F42">
        <f>VLOOKUP(F22,Traktorkalkyl!$H3:$J8,3)/100</f>
        <v>0</v>
      </c>
      <c r="G42" t="e">
        <f>VLOOKUP(G22,Traktorkalkyl!$H3:$J8,3)/100</f>
        <v>#N/A</v>
      </c>
      <c r="H42">
        <f>VLOOKUP(H22,Traktorkalkyl!$H3:$J8,3)/100</f>
        <v>0</v>
      </c>
      <c r="J42">
        <f>VLOOKUP(J22,Traktorkalkyl!$H3:$J8,3)/100</f>
        <v>60</v>
      </c>
      <c r="K42">
        <f>VLOOKUP(K22,Traktorkalkyl!$H3:$J8,3)/100</f>
        <v>60</v>
      </c>
      <c r="L42">
        <f>VLOOKUP(L22,Traktorkalkyl!$H3:$J8,3)/100</f>
        <v>60</v>
      </c>
      <c r="M42">
        <f>VLOOKUP(M22,Traktorkalkyl!$H3:$J8,3)/100</f>
        <v>60</v>
      </c>
      <c r="N42">
        <f>VLOOKUP(N22,Traktorkalkyl!$H3:$J8,3)/100</f>
        <v>60</v>
      </c>
      <c r="O42">
        <f>VLOOKUP(O22,Traktorkalkyl!$H3:$J8,3)/100</f>
        <v>60</v>
      </c>
      <c r="P42">
        <f>VLOOKUP(P22,Traktorkalkyl!$H3:$J8,3)/100</f>
        <v>60</v>
      </c>
    </row>
  </sheetData>
  <sheetProtection password="CF57" sheet="1" objects="1" scenarios="1" selectLockedCells="1"/>
  <printOptions/>
  <pageMargins left="0.75" right="0.75" top="1" bottom="1" header="0.5" footer="0.5"/>
  <pageSetup horizontalDpi="600" verticalDpi="600" orientation="landscape" paperSize="9"/>
  <legacyDrawing r:id="rId2"/>
</worksheet>
</file>

<file path=xl/worksheets/sheet5.xml><?xml version="1.0" encoding="utf-8"?>
<worksheet xmlns="http://schemas.openxmlformats.org/spreadsheetml/2006/main" xmlns:r="http://schemas.openxmlformats.org/officeDocument/2006/relationships">
  <sheetPr codeName="Sheet7"/>
  <dimension ref="A1:L36"/>
  <sheetViews>
    <sheetView showGridLines="0" zoomScalePageLayoutView="0" workbookViewId="0" topLeftCell="A2">
      <selection activeCell="D21" sqref="D21"/>
    </sheetView>
  </sheetViews>
  <sheetFormatPr defaultColWidth="8.8515625" defaultRowHeight="12.75"/>
  <cols>
    <col min="1" max="1" width="16.7109375" style="17" customWidth="1"/>
    <col min="2" max="2" width="13.28125" style="17" customWidth="1"/>
    <col min="3" max="3" width="11.140625" style="0" customWidth="1"/>
    <col min="4" max="11" width="8.8515625" style="0" customWidth="1"/>
    <col min="12" max="12" width="11.421875" style="0" customWidth="1"/>
  </cols>
  <sheetData>
    <row r="1" spans="1:12" ht="18">
      <c r="A1" s="53" t="s">
        <v>187</v>
      </c>
      <c r="B1" s="47"/>
      <c r="C1" s="47" t="s">
        <v>185</v>
      </c>
      <c r="D1" s="47">
        <v>1</v>
      </c>
      <c r="E1" s="47">
        <v>2</v>
      </c>
      <c r="F1" s="47">
        <v>3</v>
      </c>
      <c r="G1" s="47">
        <v>4</v>
      </c>
      <c r="H1" s="47">
        <v>5</v>
      </c>
      <c r="I1" s="47">
        <v>6</v>
      </c>
      <c r="J1" s="47">
        <v>7</v>
      </c>
      <c r="K1" s="47">
        <v>8</v>
      </c>
      <c r="L1" s="47" t="s">
        <v>183</v>
      </c>
    </row>
    <row r="2" spans="1:12" ht="18">
      <c r="A2" s="53" t="s">
        <v>188</v>
      </c>
      <c r="B2" s="47"/>
      <c r="C2" s="47" t="s">
        <v>176</v>
      </c>
      <c r="D2" s="57">
        <v>3</v>
      </c>
      <c r="E2" s="57">
        <v>4</v>
      </c>
      <c r="F2" s="57">
        <v>10</v>
      </c>
      <c r="G2" s="57">
        <v>1</v>
      </c>
      <c r="H2" s="57">
        <v>1</v>
      </c>
      <c r="I2" s="57">
        <v>1</v>
      </c>
      <c r="J2" s="57">
        <v>1</v>
      </c>
      <c r="K2" s="57">
        <v>1</v>
      </c>
      <c r="L2" s="47"/>
    </row>
    <row r="3" spans="1:12" ht="12.75">
      <c r="A3" s="47"/>
      <c r="B3" s="47" t="s">
        <v>151</v>
      </c>
      <c r="C3" s="47" t="s">
        <v>184</v>
      </c>
      <c r="D3" s="57"/>
      <c r="E3" s="57"/>
      <c r="F3" s="57"/>
      <c r="G3" s="57"/>
      <c r="H3" s="57"/>
      <c r="I3" s="57"/>
      <c r="J3" s="57"/>
      <c r="K3" s="57"/>
      <c r="L3" s="47"/>
    </row>
    <row r="4" spans="1:12" ht="12.75">
      <c r="A4" s="47"/>
      <c r="B4" s="47" t="s">
        <v>221</v>
      </c>
      <c r="C4" s="47" t="s">
        <v>177</v>
      </c>
      <c r="D4" s="57">
        <v>100</v>
      </c>
      <c r="E4" s="57">
        <v>100</v>
      </c>
      <c r="F4" s="57">
        <v>100</v>
      </c>
      <c r="G4" s="57"/>
      <c r="H4" s="57"/>
      <c r="I4" s="57"/>
      <c r="J4" s="57"/>
      <c r="K4" s="57"/>
      <c r="L4" s="47" t="s">
        <v>177</v>
      </c>
    </row>
    <row r="5" spans="1:12" ht="12.75">
      <c r="A5" s="35" t="str">
        <f>VLOOKUP(Redskapskalkyl!B$2,Maskindata!$A$835:$B$850,2)</f>
        <v>Växelplog</v>
      </c>
      <c r="B5" s="46">
        <f>Redskapskalkyl!B$4</f>
        <v>0</v>
      </c>
      <c r="C5" t="s">
        <v>178</v>
      </c>
      <c r="D5" s="39">
        <v>1</v>
      </c>
      <c r="E5" s="39">
        <v>1</v>
      </c>
      <c r="F5" s="39">
        <v>0</v>
      </c>
      <c r="G5" s="39">
        <v>0</v>
      </c>
      <c r="H5" s="39"/>
      <c r="I5" s="39"/>
      <c r="J5" s="39"/>
      <c r="K5" s="39"/>
      <c r="L5" s="39">
        <v>0</v>
      </c>
    </row>
    <row r="6" spans="1:12" ht="12.75">
      <c r="A6" s="48" t="str">
        <f>VLOOKUP(Redskapskalkyl!B$3,Maskindata!$A$3:$F$700,2)</f>
        <v>Buren 4-skärig</v>
      </c>
      <c r="B6" s="58">
        <f>Redskapskalkyl!B$15</f>
        <v>0.9216</v>
      </c>
      <c r="C6" s="49" t="s">
        <v>186</v>
      </c>
      <c r="D6" s="51">
        <f>Redskapskalkyl!$B$36*D5</f>
        <v>838.5847853076743</v>
      </c>
      <c r="E6" s="51">
        <f>Redskapskalkyl!$B$36*E5</f>
        <v>838.5847853076743</v>
      </c>
      <c r="F6" s="51">
        <f>Redskapskalkyl!$B$36*F5</f>
        <v>0</v>
      </c>
      <c r="G6" s="51">
        <f>Redskapskalkyl!$B$36*G5</f>
        <v>0</v>
      </c>
      <c r="H6" s="51">
        <f>Redskapskalkyl!$B$36*H5</f>
        <v>0</v>
      </c>
      <c r="I6" s="51">
        <f>Redskapskalkyl!$B$36*I5</f>
        <v>0</v>
      </c>
      <c r="J6" s="51">
        <f>Redskapskalkyl!$B$36*J5</f>
        <v>0</v>
      </c>
      <c r="K6" s="51">
        <f>Redskapskalkyl!$B$36*K5</f>
        <v>0</v>
      </c>
      <c r="L6" s="52"/>
    </row>
    <row r="7" spans="1:12" ht="12.75">
      <c r="A7" s="35" t="str">
        <f>VLOOKUP(Redskapskalkyl!C$2,Maskindata!$A$835:$B$850,2)</f>
        <v>Skivbill, förredskap</v>
      </c>
      <c r="B7" s="17">
        <f>Redskapskalkyl!C$4</f>
        <v>0</v>
      </c>
      <c r="C7" t="s">
        <v>178</v>
      </c>
      <c r="D7" s="39">
        <v>0</v>
      </c>
      <c r="E7" s="39">
        <v>0</v>
      </c>
      <c r="F7" s="39">
        <v>0</v>
      </c>
      <c r="G7" s="39">
        <v>0</v>
      </c>
      <c r="H7" s="39">
        <v>0</v>
      </c>
      <c r="I7" s="39">
        <v>0</v>
      </c>
      <c r="J7" s="39">
        <v>0</v>
      </c>
      <c r="K7" s="39">
        <v>0</v>
      </c>
      <c r="L7" s="39"/>
    </row>
    <row r="8" spans="1:12" ht="12.75">
      <c r="A8" s="48" t="str">
        <f>VLOOKUP(Redskapskalkyl!C$3,Maskindata!$A$3:$F$700,2)</f>
        <v>Skivbill 6m</v>
      </c>
      <c r="B8" s="58">
        <f>Redskapskalkyl!C$15</f>
        <v>2.457</v>
      </c>
      <c r="C8" s="49" t="s">
        <v>186</v>
      </c>
      <c r="D8" s="51">
        <f>Redskapskalkyl!$C$36*D7</f>
        <v>0</v>
      </c>
      <c r="E8" s="51">
        <f>Redskapskalkyl!$C$36*E7</f>
        <v>0</v>
      </c>
      <c r="F8" s="51">
        <f>Redskapskalkyl!$C$36*F7</f>
        <v>0</v>
      </c>
      <c r="G8" s="51">
        <f>Redskapskalkyl!$C$36*G7</f>
        <v>0</v>
      </c>
      <c r="H8" s="51">
        <f>Redskapskalkyl!$C$36*H7</f>
        <v>0</v>
      </c>
      <c r="I8" s="51">
        <f>Redskapskalkyl!$C$36*I7</f>
        <v>0</v>
      </c>
      <c r="J8" s="51">
        <f>Redskapskalkyl!$C$36*J7</f>
        <v>0</v>
      </c>
      <c r="K8" s="51">
        <f>Redskapskalkyl!$C$36*K7</f>
        <v>0</v>
      </c>
      <c r="L8" s="49"/>
    </row>
    <row r="9" spans="1:12" ht="12.75">
      <c r="A9" s="35" t="str">
        <f>VLOOKUP(Redskapskalkyl!D$2,Maskindata!$A$835:$B$850,2)</f>
        <v>Vältar</v>
      </c>
      <c r="B9" s="46">
        <f>Redskapskalkyl!D$4</f>
        <v>0</v>
      </c>
      <c r="C9" t="s">
        <v>178</v>
      </c>
      <c r="D9" s="39">
        <v>0</v>
      </c>
      <c r="E9" s="39">
        <v>0</v>
      </c>
      <c r="F9" s="39">
        <v>0</v>
      </c>
      <c r="G9" s="39">
        <v>0</v>
      </c>
      <c r="H9" s="39">
        <v>0</v>
      </c>
      <c r="I9" s="39">
        <v>0</v>
      </c>
      <c r="J9" s="39">
        <v>0</v>
      </c>
      <c r="K9" s="39">
        <v>0</v>
      </c>
      <c r="L9" s="39"/>
    </row>
    <row r="10" spans="1:12" ht="12.75">
      <c r="A10" s="50" t="str">
        <f>VLOOKUP(Redskapskalkyl!D$3,Maskindata!$A$3:$F$700,2)</f>
        <v>Vält 9 m</v>
      </c>
      <c r="B10" s="58">
        <f>Redskapskalkyl!D$15</f>
        <v>6.48</v>
      </c>
      <c r="C10" s="49" t="s">
        <v>186</v>
      </c>
      <c r="D10" s="51">
        <f>Redskapskalkyl!$D$36*D9</f>
        <v>0</v>
      </c>
      <c r="E10" s="51">
        <f>Redskapskalkyl!$D$36*E9</f>
        <v>0</v>
      </c>
      <c r="F10" s="51">
        <f>Redskapskalkyl!$D$36*F9</f>
        <v>0</v>
      </c>
      <c r="G10" s="51">
        <f>Redskapskalkyl!$D$36*G9</f>
        <v>0</v>
      </c>
      <c r="H10" s="51">
        <f>Redskapskalkyl!$D$36*H9</f>
        <v>0</v>
      </c>
      <c r="I10" s="51">
        <f>Redskapskalkyl!$D$36*I9</f>
        <v>0</v>
      </c>
      <c r="J10" s="51">
        <f>Redskapskalkyl!$D$36*J9</f>
        <v>0</v>
      </c>
      <c r="K10" s="51">
        <f>Redskapskalkyl!$D$36*K9</f>
        <v>0</v>
      </c>
      <c r="L10" s="49"/>
    </row>
    <row r="11" spans="1:12" ht="12.75">
      <c r="A11" s="35" t="str">
        <f>VLOOKUP(Redskapskalkyl!E$2,Maskindata!$A$835:$B$850,2)</f>
        <v>Inget valt</v>
      </c>
      <c r="B11" s="46">
        <f>Redskapskalkyl!E$4</f>
        <v>0</v>
      </c>
      <c r="C11" t="s">
        <v>178</v>
      </c>
      <c r="D11" s="39">
        <v>0</v>
      </c>
      <c r="E11" s="39">
        <v>0</v>
      </c>
      <c r="F11" s="39">
        <v>0</v>
      </c>
      <c r="G11" s="39"/>
      <c r="H11" s="39">
        <v>0</v>
      </c>
      <c r="I11" s="39">
        <v>0</v>
      </c>
      <c r="J11" s="39">
        <v>0</v>
      </c>
      <c r="K11" s="39">
        <v>0</v>
      </c>
      <c r="L11" s="39"/>
    </row>
    <row r="12" spans="1:12" ht="12.75">
      <c r="A12" s="50" t="str">
        <f>VLOOKUP(Redskapskalkyl!E$3,Maskindata!$A$3:$F$700,2)</f>
        <v>Inget valt</v>
      </c>
      <c r="B12" s="58">
        <f>Redskapskalkyl!E$15</f>
        <v>0</v>
      </c>
      <c r="C12" s="49" t="s">
        <v>186</v>
      </c>
      <c r="D12" s="51">
        <f>Redskapskalkyl!$E$36*D11</f>
        <v>0</v>
      </c>
      <c r="E12" s="51">
        <f>Redskapskalkyl!$E$36*E11</f>
        <v>0</v>
      </c>
      <c r="F12" s="51">
        <f>Redskapskalkyl!$E$36*F11</f>
        <v>0</v>
      </c>
      <c r="G12" s="51">
        <f>Redskapskalkyl!$E$36*G11</f>
        <v>0</v>
      </c>
      <c r="H12" s="51">
        <f>Redskapskalkyl!$E$36*H11</f>
        <v>0</v>
      </c>
      <c r="I12" s="51">
        <f>Redskapskalkyl!$E$36*I11</f>
        <v>0</v>
      </c>
      <c r="J12" s="51">
        <f>Redskapskalkyl!$E$36*J11</f>
        <v>0</v>
      </c>
      <c r="K12" s="51">
        <f>Redskapskalkyl!$E$36*K11</f>
        <v>0</v>
      </c>
      <c r="L12" s="49"/>
    </row>
    <row r="13" spans="1:12" ht="12.75">
      <c r="A13" s="35" t="str">
        <f>VLOOKUP(Redskapskalkyl!F$2,Maskindata!$A$835:$B$850,2)</f>
        <v>Inget valt</v>
      </c>
      <c r="B13" s="46">
        <f>Redskapskalkyl!F$4</f>
        <v>0</v>
      </c>
      <c r="C13" t="s">
        <v>178</v>
      </c>
      <c r="D13" s="39">
        <v>0</v>
      </c>
      <c r="E13" s="39">
        <v>0</v>
      </c>
      <c r="F13" s="39">
        <v>0</v>
      </c>
      <c r="G13" s="39">
        <v>0</v>
      </c>
      <c r="H13" s="39">
        <v>0</v>
      </c>
      <c r="I13" s="39">
        <v>0</v>
      </c>
      <c r="J13" s="39">
        <v>0</v>
      </c>
      <c r="K13" s="39">
        <v>0</v>
      </c>
      <c r="L13" s="39"/>
    </row>
    <row r="14" spans="1:12" ht="12.75">
      <c r="A14" s="48" t="str">
        <f>VLOOKUP(Redskapskalkyl!F$3,Maskindata!$A$3:$F$700,2)</f>
        <v>Inget valt</v>
      </c>
      <c r="B14" s="58">
        <f>Redskapskalkyl!F$15</f>
        <v>0</v>
      </c>
      <c r="C14" s="49" t="s">
        <v>186</v>
      </c>
      <c r="D14" s="51">
        <f>Redskapskalkyl!$F$36*D13</f>
        <v>0</v>
      </c>
      <c r="E14" s="51">
        <f>Redskapskalkyl!$F$36*E13</f>
        <v>0</v>
      </c>
      <c r="F14" s="51">
        <f>Redskapskalkyl!$F$36*F13</f>
        <v>0</v>
      </c>
      <c r="G14" s="51">
        <f>Redskapskalkyl!$F$36*G13</f>
        <v>0</v>
      </c>
      <c r="H14" s="51">
        <f>Redskapskalkyl!$F$36*H13</f>
        <v>0</v>
      </c>
      <c r="I14" s="51">
        <f>Redskapskalkyl!$F$36*I13</f>
        <v>0</v>
      </c>
      <c r="J14" s="51">
        <f>Redskapskalkyl!$F$36*J13</f>
        <v>0</v>
      </c>
      <c r="K14" s="51">
        <f>Redskapskalkyl!$F$36*K13</f>
        <v>0</v>
      </c>
      <c r="L14" s="49"/>
    </row>
    <row r="15" spans="1:12" ht="12.75">
      <c r="A15" s="35" t="str">
        <f>VLOOKUP(Redskapskalkyl!G$2,Maskindata!$A$835:$B$850,2)</f>
        <v>Inget valt</v>
      </c>
      <c r="B15" s="46">
        <f>Redskapskalkyl!G$4</f>
        <v>0</v>
      </c>
      <c r="C15" t="s">
        <v>178</v>
      </c>
      <c r="D15" s="39">
        <v>0</v>
      </c>
      <c r="E15" s="39">
        <v>0</v>
      </c>
      <c r="F15" s="39">
        <v>0</v>
      </c>
      <c r="G15" s="39">
        <v>0</v>
      </c>
      <c r="H15" s="39">
        <v>0</v>
      </c>
      <c r="I15" s="39">
        <v>0</v>
      </c>
      <c r="J15" s="39">
        <v>0</v>
      </c>
      <c r="K15" s="39">
        <v>0</v>
      </c>
      <c r="L15" s="39"/>
    </row>
    <row r="16" spans="1:12" ht="12.75">
      <c r="A16" s="48" t="str">
        <f>VLOOKUP(Redskapskalkyl!G$3,Maskindata!$A$3:$F$700,2)</f>
        <v>Inget valt</v>
      </c>
      <c r="B16" s="58">
        <f>Redskapskalkyl!G$15</f>
        <v>0</v>
      </c>
      <c r="C16" s="49" t="s">
        <v>186</v>
      </c>
      <c r="D16" s="51">
        <f>Redskapskalkyl!$G$36*D15</f>
        <v>0</v>
      </c>
      <c r="E16" s="51">
        <f>Redskapskalkyl!$G$36*E15</f>
        <v>0</v>
      </c>
      <c r="F16" s="51">
        <f>Redskapskalkyl!$G$36*F15</f>
        <v>0</v>
      </c>
      <c r="G16" s="51">
        <f>Redskapskalkyl!$G$36*G15</f>
        <v>0</v>
      </c>
      <c r="H16" s="51">
        <f>Redskapskalkyl!$G$36*H15</f>
        <v>0</v>
      </c>
      <c r="I16" s="51">
        <f>Redskapskalkyl!$G$36*I15</f>
        <v>0</v>
      </c>
      <c r="J16" s="51">
        <f>Redskapskalkyl!$G$36*J15</f>
        <v>0</v>
      </c>
      <c r="K16" s="51">
        <f>Redskapskalkyl!$G$36*K15</f>
        <v>0</v>
      </c>
      <c r="L16" s="49"/>
    </row>
    <row r="17" spans="1:12" ht="12.75">
      <c r="A17" s="35" t="str">
        <f>VLOOKUP(Redskapskalkyl!H$2,Maskindata!$A$835:$B$850,2)</f>
        <v>Inget valt</v>
      </c>
      <c r="B17" s="46">
        <f>Redskapskalkyl!H$4</f>
        <v>0</v>
      </c>
      <c r="C17" t="s">
        <v>178</v>
      </c>
      <c r="D17" s="39">
        <v>0</v>
      </c>
      <c r="E17" s="39">
        <v>0</v>
      </c>
      <c r="F17" s="39">
        <v>0</v>
      </c>
      <c r="G17" s="39">
        <v>0</v>
      </c>
      <c r="H17" s="39">
        <v>0</v>
      </c>
      <c r="I17" s="39">
        <v>0</v>
      </c>
      <c r="J17" s="39">
        <v>0</v>
      </c>
      <c r="K17" s="39">
        <v>0</v>
      </c>
      <c r="L17" s="39"/>
    </row>
    <row r="18" spans="1:12" ht="12.75">
      <c r="A18" s="48" t="str">
        <f>VLOOKUP(Redskapskalkyl!H$3,Maskindata!$A$3:$F$700,2)</f>
        <v>Inget valt</v>
      </c>
      <c r="B18" s="58">
        <f>Redskapskalkyl!H$15</f>
        <v>0</v>
      </c>
      <c r="C18" s="49" t="s">
        <v>186</v>
      </c>
      <c r="D18" s="51">
        <f>Redskapskalkyl!$H$36*D17</f>
        <v>0</v>
      </c>
      <c r="E18" s="51">
        <f>Redskapskalkyl!$H$36*E17</f>
        <v>0</v>
      </c>
      <c r="F18" s="51">
        <f>Redskapskalkyl!$H$36*F17</f>
        <v>0</v>
      </c>
      <c r="G18" s="51">
        <f>Redskapskalkyl!$H$36*G17</f>
        <v>0</v>
      </c>
      <c r="H18" s="51">
        <f>Redskapskalkyl!$H$36*H17</f>
        <v>0</v>
      </c>
      <c r="I18" s="51">
        <f>Redskapskalkyl!$H$36*I17</f>
        <v>0</v>
      </c>
      <c r="J18" s="51">
        <f>Redskapskalkyl!$H$36*J17</f>
        <v>0</v>
      </c>
      <c r="K18" s="51">
        <f>Redskapskalkyl!$H$36*K17</f>
        <v>0</v>
      </c>
      <c r="L18" s="49"/>
    </row>
    <row r="19" spans="1:12" ht="12.75">
      <c r="A19" s="35" t="str">
        <f>VLOOKUP(Redskapskalkyl!J$2,Maskindata!$A$835:$B$850,2)</f>
        <v>Inget valt</v>
      </c>
      <c r="B19" s="46">
        <f>Redskapskalkyl!J$4</f>
        <v>0</v>
      </c>
      <c r="C19" t="s">
        <v>178</v>
      </c>
      <c r="D19" s="39">
        <v>0</v>
      </c>
      <c r="E19" s="39">
        <v>0</v>
      </c>
      <c r="F19" s="39">
        <v>0</v>
      </c>
      <c r="G19" s="39">
        <v>0</v>
      </c>
      <c r="H19" s="39">
        <v>0</v>
      </c>
      <c r="I19" s="39">
        <v>0</v>
      </c>
      <c r="J19" s="39">
        <v>0</v>
      </c>
      <c r="K19" s="39"/>
      <c r="L19" s="39"/>
    </row>
    <row r="20" spans="1:12" ht="12.75">
      <c r="A20" s="48" t="str">
        <f>VLOOKUP(Redskapskalkyl!J$3,Maskindata!$A$3:$F$700,2)</f>
        <v>Inget valt</v>
      </c>
      <c r="B20" s="58">
        <f>Redskapskalkyl!J$15</f>
        <v>0</v>
      </c>
      <c r="C20" s="49" t="s">
        <v>186</v>
      </c>
      <c r="D20" s="51">
        <f>Redskapskalkyl!$J$36*D19</f>
        <v>0</v>
      </c>
      <c r="E20" s="51">
        <f>Redskapskalkyl!$J$36*E19</f>
        <v>0</v>
      </c>
      <c r="F20" s="51">
        <f>Redskapskalkyl!$J$36*F19</f>
        <v>0</v>
      </c>
      <c r="G20" s="51">
        <f>Redskapskalkyl!$J$36*G19</f>
        <v>0</v>
      </c>
      <c r="H20" s="51">
        <f>Redskapskalkyl!$J$36*H19</f>
        <v>0</v>
      </c>
      <c r="I20" s="51">
        <f>Redskapskalkyl!$J$36*I19</f>
        <v>0</v>
      </c>
      <c r="J20" s="51">
        <f>Redskapskalkyl!$J$36*J19</f>
        <v>0</v>
      </c>
      <c r="K20" s="51">
        <f>Redskapskalkyl!$J$36*K19</f>
        <v>0</v>
      </c>
      <c r="L20" s="49"/>
    </row>
    <row r="21" spans="1:12" ht="12.75">
      <c r="A21" s="35" t="str">
        <f>VLOOKUP(Redskapskalkyl!K$2,Maskindata!$A$835:$B$850,2)</f>
        <v>Inget valt</v>
      </c>
      <c r="B21" s="46">
        <f>Redskapskalkyl!K$4</f>
        <v>0</v>
      </c>
      <c r="C21" t="s">
        <v>178</v>
      </c>
      <c r="D21" s="39"/>
      <c r="E21" s="39"/>
      <c r="F21" s="39"/>
      <c r="G21" s="39"/>
      <c r="H21" s="39"/>
      <c r="I21" s="39"/>
      <c r="J21" s="39"/>
      <c r="K21" s="39"/>
      <c r="L21" s="39"/>
    </row>
    <row r="22" spans="1:12" ht="12.75">
      <c r="A22" s="48" t="str">
        <f>VLOOKUP(Redskapskalkyl!K$3,Maskindata!$A$3:$F$700,2)</f>
        <v>Inget valt</v>
      </c>
      <c r="B22" s="58">
        <f>Redskapskalkyl!K$15</f>
        <v>0</v>
      </c>
      <c r="C22" s="49" t="s">
        <v>186</v>
      </c>
      <c r="D22" s="51">
        <f>Redskapskalkyl!$K$36*D21</f>
        <v>0</v>
      </c>
      <c r="E22" s="51">
        <f>Redskapskalkyl!$K$36*E21</f>
        <v>0</v>
      </c>
      <c r="F22" s="51">
        <f>Redskapskalkyl!$K$36*F21</f>
        <v>0</v>
      </c>
      <c r="G22" s="51">
        <f>Redskapskalkyl!$K$36*G21</f>
        <v>0</v>
      </c>
      <c r="H22" s="51">
        <f>Redskapskalkyl!$K$36*H21</f>
        <v>0</v>
      </c>
      <c r="I22" s="51">
        <f>Redskapskalkyl!$K$36*I21</f>
        <v>0</v>
      </c>
      <c r="J22" s="51">
        <f>Redskapskalkyl!$K$36*J21</f>
        <v>0</v>
      </c>
      <c r="K22" s="51">
        <f>Redskapskalkyl!$K$36*K21</f>
        <v>0</v>
      </c>
      <c r="L22" s="49"/>
    </row>
    <row r="23" spans="1:12" ht="12.75">
      <c r="A23" s="35" t="str">
        <f>VLOOKUP(Redskapskalkyl!L$2,Maskindata!$A$835:$B$850,2)</f>
        <v>Inget valt</v>
      </c>
      <c r="B23" s="46">
        <f>Redskapskalkyl!L$4</f>
        <v>0</v>
      </c>
      <c r="C23" t="s">
        <v>178</v>
      </c>
      <c r="D23" s="39"/>
      <c r="E23" s="39"/>
      <c r="F23" s="39"/>
      <c r="G23" s="39"/>
      <c r="H23" s="39"/>
      <c r="I23" s="39"/>
      <c r="J23" s="39"/>
      <c r="K23" s="39"/>
      <c r="L23" s="39"/>
    </row>
    <row r="24" spans="1:12" ht="12.75">
      <c r="A24" s="48" t="str">
        <f>VLOOKUP(Redskapskalkyl!L$3,Maskindata!$A$3:$F$700,2)</f>
        <v>Inget valt</v>
      </c>
      <c r="B24" s="58">
        <f>Redskapskalkyl!L$15</f>
        <v>0</v>
      </c>
      <c r="C24" s="49" t="s">
        <v>186</v>
      </c>
      <c r="D24" s="51">
        <f>Redskapskalkyl!$L$36*D23</f>
        <v>0</v>
      </c>
      <c r="E24" s="51">
        <f>Redskapskalkyl!$L$36*E23</f>
        <v>0</v>
      </c>
      <c r="F24" s="51">
        <f>Redskapskalkyl!$L$36*F23</f>
        <v>0</v>
      </c>
      <c r="G24" s="51">
        <f>Redskapskalkyl!$L$36*G23</f>
        <v>0</v>
      </c>
      <c r="H24" s="51">
        <f>Redskapskalkyl!$L$36*H23</f>
        <v>0</v>
      </c>
      <c r="I24" s="51">
        <f>Redskapskalkyl!$L$36*I23</f>
        <v>0</v>
      </c>
      <c r="J24" s="51">
        <f>Redskapskalkyl!$L$36*J23</f>
        <v>0</v>
      </c>
      <c r="K24" s="51">
        <f>Redskapskalkyl!$L$36*K23</f>
        <v>0</v>
      </c>
      <c r="L24" s="49"/>
    </row>
    <row r="25" spans="1:12" ht="12.75">
      <c r="A25" s="35" t="str">
        <f>VLOOKUP(Redskapskalkyl!M$2,Maskindata!$A$835:$B$850,2)</f>
        <v>Inget valt</v>
      </c>
      <c r="B25" s="46">
        <f>Redskapskalkyl!M$4</f>
        <v>0</v>
      </c>
      <c r="C25" t="s">
        <v>178</v>
      </c>
      <c r="D25" s="39"/>
      <c r="E25" s="39"/>
      <c r="F25" s="39"/>
      <c r="G25" s="39"/>
      <c r="H25" s="39"/>
      <c r="I25" s="39"/>
      <c r="J25" s="39"/>
      <c r="K25" s="39"/>
      <c r="L25" s="39"/>
    </row>
    <row r="26" spans="1:12" ht="12.75">
      <c r="A26" s="48" t="str">
        <f>VLOOKUP(Redskapskalkyl!M$3,Maskindata!$A$3:$F$700,2)</f>
        <v>Inget valt</v>
      </c>
      <c r="B26" s="58">
        <f>Redskapskalkyl!M$15</f>
        <v>0</v>
      </c>
      <c r="C26" s="49" t="s">
        <v>186</v>
      </c>
      <c r="D26" s="51">
        <f>Redskapskalkyl!$M$36*D25</f>
        <v>0</v>
      </c>
      <c r="E26" s="51">
        <f>Redskapskalkyl!$M$36*E25</f>
        <v>0</v>
      </c>
      <c r="F26" s="51">
        <f>Redskapskalkyl!$M$36*F25</f>
        <v>0</v>
      </c>
      <c r="G26" s="51">
        <f>Redskapskalkyl!$M$36*G25</f>
        <v>0</v>
      </c>
      <c r="H26" s="51">
        <f>Redskapskalkyl!$M$36*H25</f>
        <v>0</v>
      </c>
      <c r="I26" s="51">
        <f>Redskapskalkyl!$M$36*I25</f>
        <v>0</v>
      </c>
      <c r="J26" s="51">
        <f>Redskapskalkyl!$M$36*J25</f>
        <v>0</v>
      </c>
      <c r="K26" s="51">
        <f>Redskapskalkyl!$M$36*K25</f>
        <v>0</v>
      </c>
      <c r="L26" s="49"/>
    </row>
    <row r="27" spans="1:12" ht="12.75">
      <c r="A27" s="35" t="s">
        <v>180</v>
      </c>
      <c r="B27" s="68"/>
      <c r="C27" t="s">
        <v>186</v>
      </c>
      <c r="D27" s="39">
        <v>0</v>
      </c>
      <c r="E27" s="39">
        <v>0</v>
      </c>
      <c r="F27" s="39"/>
      <c r="G27" s="39"/>
      <c r="H27" s="39"/>
      <c r="I27" s="39"/>
      <c r="J27" s="39"/>
      <c r="K27" s="39"/>
      <c r="L27" s="39"/>
    </row>
    <row r="28" spans="1:12" ht="12.75">
      <c r="A28" s="35" t="s">
        <v>180</v>
      </c>
      <c r="B28" s="68"/>
      <c r="C28" t="s">
        <v>186</v>
      </c>
      <c r="D28" s="39"/>
      <c r="E28" s="39"/>
      <c r="F28" s="39"/>
      <c r="G28" s="39"/>
      <c r="H28" s="39"/>
      <c r="I28" s="39"/>
      <c r="J28" s="39"/>
      <c r="K28" s="39"/>
      <c r="L28" s="39"/>
    </row>
    <row r="29" spans="1:12" ht="12.75">
      <c r="A29" s="35" t="s">
        <v>180</v>
      </c>
      <c r="B29" s="68"/>
      <c r="C29" t="s">
        <v>186</v>
      </c>
      <c r="D29" s="39"/>
      <c r="E29" s="39"/>
      <c r="F29" s="39"/>
      <c r="G29" s="39"/>
      <c r="H29" s="39"/>
      <c r="I29" s="39"/>
      <c r="J29" s="39"/>
      <c r="K29" s="39"/>
      <c r="L29" s="39"/>
    </row>
    <row r="30" ht="12.75">
      <c r="L30" t="s">
        <v>223</v>
      </c>
    </row>
    <row r="31" spans="1:12" ht="12.75">
      <c r="A31" s="17" t="s">
        <v>179</v>
      </c>
      <c r="C31" t="s">
        <v>291</v>
      </c>
      <c r="D31" s="24">
        <f>((IF($B6&gt;0,D5/$B6,0))+(IF($B8&gt;0,D7/$B8,0))+(IF($B10&gt;0,D9/$B10,0))+(IF($B12&gt;0,D11/$B12,0))+(IF($B14&gt;0,D13/$B14,0))+(IF($B16&gt;0,D15/$B16,0))+(IF($B18&gt;0,D17/$B18,0))+(IF($B20&gt;0,D19/$B20,0))+(IF($B22&gt;0,D21/$B22,0))+(IF($B24&gt;0,D23/$B24,0))+(IF($B26&gt;0,D25/$B26,0)))</f>
        <v>1.0850694444444444</v>
      </c>
      <c r="E31" s="24">
        <f aca="true" t="shared" si="0" ref="E31:K31">((IF($B6&gt;0,E5/$B6,0))+(IF($B8&gt;0,E7/$B8,0))+(IF($B10&gt;0,E9/$B10,0))+(IF($B12&gt;0,E11/$B12,0))+(IF($B14&gt;0,E13/$B14,0))+(IF($B16&gt;0,E15/$B16,0))+(IF($B18&gt;0,E17/$B18,0))+(IF($B20&gt;0,E19/$B20,0))+(IF($B22&gt;0,E21/$B22,0))+(IF($B24&gt;0,E23/$B24,0))+(IF($B26&gt;0,E25/$B26,0)))</f>
        <v>1.0850694444444444</v>
      </c>
      <c r="F31" s="24">
        <f t="shared" si="0"/>
        <v>0</v>
      </c>
      <c r="G31" s="24">
        <f t="shared" si="0"/>
        <v>0</v>
      </c>
      <c r="H31" s="24">
        <f t="shared" si="0"/>
        <v>0</v>
      </c>
      <c r="I31" s="24">
        <f t="shared" si="0"/>
        <v>0</v>
      </c>
      <c r="J31" s="24">
        <f t="shared" si="0"/>
        <v>0</v>
      </c>
      <c r="K31" s="24">
        <f t="shared" si="0"/>
        <v>0</v>
      </c>
      <c r="L31" s="24">
        <f>L33/(SUM(D4:K4))</f>
        <v>0.7233796296296297</v>
      </c>
    </row>
    <row r="32" spans="3:12" ht="12.75">
      <c r="C32" t="s">
        <v>181</v>
      </c>
      <c r="D32" s="23">
        <f>D6+D8+D10+D12+D14+D16+D18+D20+D22+D24+D26+D27+D28+D29</f>
        <v>838.5847853076743</v>
      </c>
      <c r="E32" s="23">
        <f aca="true" t="shared" si="1" ref="E32:K32">E6+E8+E10+E12+E14+E16+E18+E20+E22+E24+E26+E27+E28+E29</f>
        <v>838.5847853076743</v>
      </c>
      <c r="F32" s="23">
        <f t="shared" si="1"/>
        <v>0</v>
      </c>
      <c r="G32" s="23">
        <f t="shared" si="1"/>
        <v>0</v>
      </c>
      <c r="H32" s="23">
        <f t="shared" si="1"/>
        <v>0</v>
      </c>
      <c r="I32" s="23">
        <f t="shared" si="1"/>
        <v>0</v>
      </c>
      <c r="J32" s="23">
        <f t="shared" si="1"/>
        <v>0</v>
      </c>
      <c r="K32" s="23">
        <f t="shared" si="1"/>
        <v>0</v>
      </c>
      <c r="L32" s="23">
        <f>L34/(SUM(D4:K4))</f>
        <v>559.0565235384496</v>
      </c>
    </row>
    <row r="33" spans="3:12" ht="12.75">
      <c r="C33" t="s">
        <v>290</v>
      </c>
      <c r="D33" s="23">
        <f>D4*D31</f>
        <v>108.50694444444444</v>
      </c>
      <c r="E33" s="23">
        <f aca="true" t="shared" si="2" ref="E33:K33">E4*E31</f>
        <v>108.50694444444444</v>
      </c>
      <c r="F33" s="23">
        <f t="shared" si="2"/>
        <v>0</v>
      </c>
      <c r="G33" s="23">
        <f t="shared" si="2"/>
        <v>0</v>
      </c>
      <c r="H33" s="23">
        <f t="shared" si="2"/>
        <v>0</v>
      </c>
      <c r="I33" s="23">
        <f t="shared" si="2"/>
        <v>0</v>
      </c>
      <c r="J33" s="23">
        <f t="shared" si="2"/>
        <v>0</v>
      </c>
      <c r="K33" s="23">
        <f t="shared" si="2"/>
        <v>0</v>
      </c>
      <c r="L33" s="23">
        <f>SUM(D33:K33)</f>
        <v>217.01388888888889</v>
      </c>
    </row>
    <row r="34" spans="3:12" ht="12.75">
      <c r="C34" t="s">
        <v>222</v>
      </c>
      <c r="D34" s="23">
        <f aca="true" t="shared" si="3" ref="D34:K34">D4*D32</f>
        <v>83858.47853076743</v>
      </c>
      <c r="E34" s="23">
        <f t="shared" si="3"/>
        <v>83858.47853076743</v>
      </c>
      <c r="F34" s="23">
        <f t="shared" si="3"/>
        <v>0</v>
      </c>
      <c r="G34" s="23">
        <f t="shared" si="3"/>
        <v>0</v>
      </c>
      <c r="H34" s="23">
        <f t="shared" si="3"/>
        <v>0</v>
      </c>
      <c r="I34" s="23">
        <f t="shared" si="3"/>
        <v>0</v>
      </c>
      <c r="J34" s="23">
        <f t="shared" si="3"/>
        <v>0</v>
      </c>
      <c r="K34" s="23">
        <f t="shared" si="3"/>
        <v>0</v>
      </c>
      <c r="L34" s="23">
        <f>SUM(D34:K34)</f>
        <v>167716.95706153486</v>
      </c>
    </row>
    <row r="36" spans="1:11" ht="12.75">
      <c r="A36" s="17" t="s">
        <v>337</v>
      </c>
      <c r="C36" s="23"/>
      <c r="D36" s="23">
        <f>'TB vald växtföljd'!B37</f>
        <v>4463.741064692325</v>
      </c>
      <c r="E36" s="23">
        <f>'TB vald växtföljd'!C37</f>
        <v>3522.1814646923253</v>
      </c>
      <c r="F36" s="23">
        <f>'TB vald växtföljd'!D37</f>
        <v>4309.684499999999</v>
      </c>
      <c r="G36" s="23">
        <f>'TB vald växtföljd'!E37</f>
        <v>0</v>
      </c>
      <c r="H36" s="23">
        <f>'TB vald växtföljd'!F37</f>
        <v>0</v>
      </c>
      <c r="I36" s="23">
        <f>'TB vald växtföljd'!G37</f>
        <v>0</v>
      </c>
      <c r="J36" s="23">
        <f>'TB vald växtföljd'!H37</f>
        <v>0</v>
      </c>
      <c r="K36" s="23">
        <f>'TB vald växtföljd'!I37</f>
        <v>0</v>
      </c>
    </row>
  </sheetData>
  <sheetProtection password="CF57" sheet="1" objects="1" scenarios="1" selectLockedCells="1"/>
  <printOptions/>
  <pageMargins left="0.75" right="0.75" top="0.86" bottom="1" header="0.5" footer="0.5"/>
  <pageSetup horizontalDpi="600" verticalDpi="600" orientation="landscape" paperSize="9"/>
  <legacyDrawing r:id="rId1"/>
</worksheet>
</file>

<file path=xl/worksheets/sheet6.xml><?xml version="1.0" encoding="utf-8"?>
<worksheet xmlns="http://schemas.openxmlformats.org/spreadsheetml/2006/main" xmlns:r="http://schemas.openxmlformats.org/officeDocument/2006/relationships">
  <sheetPr codeName="Sheet8"/>
  <dimension ref="A1:R36"/>
  <sheetViews>
    <sheetView zoomScalePageLayoutView="0" workbookViewId="0" topLeftCell="A1">
      <selection activeCell="B6" sqref="B6"/>
    </sheetView>
  </sheetViews>
  <sheetFormatPr defaultColWidth="8.8515625" defaultRowHeight="12.75"/>
  <cols>
    <col min="1" max="1" width="13.00390625" style="70" customWidth="1"/>
    <col min="2" max="2" width="11.00390625" style="70" customWidth="1"/>
    <col min="3" max="18" width="7.28125" style="70" customWidth="1"/>
  </cols>
  <sheetData>
    <row r="1" ht="13.5">
      <c r="A1" s="69" t="s">
        <v>262</v>
      </c>
    </row>
    <row r="2" spans="1:17" ht="12.75">
      <c r="A2" s="71"/>
      <c r="B2" s="72"/>
      <c r="C2" s="72"/>
      <c r="D2" s="72"/>
      <c r="E2" s="74"/>
      <c r="F2" s="73" t="s">
        <v>263</v>
      </c>
      <c r="G2" s="72"/>
      <c r="H2" s="72"/>
      <c r="I2" s="72"/>
      <c r="J2" s="72" t="s">
        <v>264</v>
      </c>
      <c r="K2" s="72"/>
      <c r="L2" s="72"/>
      <c r="M2" s="74"/>
      <c r="N2" s="73" t="s">
        <v>265</v>
      </c>
      <c r="O2" s="72"/>
      <c r="P2" s="102" t="s">
        <v>281</v>
      </c>
      <c r="Q2" s="75" t="s">
        <v>266</v>
      </c>
    </row>
    <row r="3" spans="1:17" ht="12.75">
      <c r="A3" s="76" t="s">
        <v>157</v>
      </c>
      <c r="B3" s="77" t="s">
        <v>214</v>
      </c>
      <c r="C3" s="77" t="s">
        <v>216</v>
      </c>
      <c r="D3" s="77" t="s">
        <v>177</v>
      </c>
      <c r="E3" s="94" t="s">
        <v>267</v>
      </c>
      <c r="F3" s="78" t="s">
        <v>268</v>
      </c>
      <c r="G3" s="79" t="s">
        <v>9</v>
      </c>
      <c r="H3" s="79" t="s">
        <v>4</v>
      </c>
      <c r="I3" s="79" t="s">
        <v>127</v>
      </c>
      <c r="J3" s="79" t="s">
        <v>14</v>
      </c>
      <c r="K3" s="79" t="s">
        <v>245</v>
      </c>
      <c r="L3" s="79" t="s">
        <v>274</v>
      </c>
      <c r="M3" s="94" t="s">
        <v>273</v>
      </c>
      <c r="N3" s="78" t="s">
        <v>13</v>
      </c>
      <c r="O3" s="79" t="s">
        <v>14</v>
      </c>
      <c r="P3" s="94" t="s">
        <v>282</v>
      </c>
      <c r="Q3" s="81" t="s">
        <v>179</v>
      </c>
    </row>
    <row r="4" spans="1:18" ht="12.75">
      <c r="A4" s="84" t="str">
        <f>VLOOKUP(Redskapskalkyl!B$2,Maskindata!$A$835:$B$850,2)</f>
        <v>Växelplog</v>
      </c>
      <c r="B4" s="83" t="str">
        <f>VLOOKUP(Redskapskalkyl!B$3,Maskindata!$A$3:$F$700,2)</f>
        <v>Buren 4-skärig</v>
      </c>
      <c r="C4" s="83">
        <f>IF(Redskapskalkyl!B6&gt;0,Redskapskalkyl!B6,Redskapskalkyl!B5)</f>
        <v>110000</v>
      </c>
      <c r="D4" s="98">
        <f>Redskapskalkyl!B$9</f>
        <v>200</v>
      </c>
      <c r="E4" s="112">
        <f>Redskapskalkyl!B$16</f>
        <v>217.01388888888889</v>
      </c>
      <c r="F4" s="99">
        <f>Redskapskalkyl!B$24</f>
        <v>8718.914483124998</v>
      </c>
      <c r="G4" s="100">
        <f>Redskapskalkyl!B$25</f>
        <v>3756.217103375</v>
      </c>
      <c r="H4" s="100">
        <f>Redskapskalkyl!B$26</f>
        <v>9548.61111111111</v>
      </c>
      <c r="I4" s="98">
        <f>Redskapskalkyl!B$29</f>
        <v>1000</v>
      </c>
      <c r="J4" s="98">
        <f>Redskapskalkyl!B$28</f>
        <v>31294.46022727273</v>
      </c>
      <c r="K4" s="100">
        <f>Redskapskalkyl!B$30</f>
        <v>74336.25413665101</v>
      </c>
      <c r="L4" s="100">
        <f>Redskapskalkyl!B$27</f>
        <v>39062.5</v>
      </c>
      <c r="M4" s="103">
        <f>SUM(F4:L4)</f>
        <v>167716.95706153486</v>
      </c>
      <c r="N4" s="99">
        <f>Redskapskalkyl!B$32</f>
        <v>106.09340635059199</v>
      </c>
      <c r="O4" s="100">
        <f>Redskapskalkyl!B$33</f>
        <v>144.20487272727274</v>
      </c>
      <c r="P4" s="100">
        <f>Redskapskalkyl!B$35</f>
        <v>772.8397381395525</v>
      </c>
      <c r="Q4" s="104">
        <f>Redskapskalkyl!B$36</f>
        <v>838.5847853076743</v>
      </c>
      <c r="R4" s="86"/>
    </row>
    <row r="5" spans="1:18" ht="12.75">
      <c r="A5" s="82" t="str">
        <f>VLOOKUP(Redskapskalkyl!C$2,Maskindata!$A$835:$B$850,2)</f>
        <v>Skivbill, förredskap</v>
      </c>
      <c r="B5" s="83" t="str">
        <f>VLOOKUP(Redskapskalkyl!C$3,Maskindata!$A$3:$F$700,2)</f>
        <v>Skivbill 6m</v>
      </c>
      <c r="C5" s="83">
        <f>IF(Redskapskalkyl!C6&gt;0,Redskapskalkyl!C6,Redskapskalkyl!C5)</f>
        <v>400000</v>
      </c>
      <c r="D5" s="98">
        <f>Redskapskalkyl!C$9</f>
        <v>0</v>
      </c>
      <c r="E5" s="112">
        <f>Redskapskalkyl!C$16</f>
        <v>0</v>
      </c>
      <c r="F5" s="99">
        <f>Redskapskalkyl!C$24</f>
        <v>31705.143574999995</v>
      </c>
      <c r="G5" s="100">
        <f>Redskapskalkyl!C$25</f>
        <v>13658.971285000001</v>
      </c>
      <c r="H5" s="100">
        <f>Redskapskalkyl!C$26</f>
        <v>0</v>
      </c>
      <c r="I5" s="98">
        <f>Redskapskalkyl!C$29</f>
        <v>1000</v>
      </c>
      <c r="J5" s="98">
        <f>Redskapskalkyl!C$28</f>
        <v>0</v>
      </c>
      <c r="K5" s="100">
        <f>Redskapskalkyl!C$30</f>
        <v>0</v>
      </c>
      <c r="L5" s="100">
        <f>Redskapskalkyl!C$27</f>
        <v>0</v>
      </c>
      <c r="M5" s="103">
        <f aca="true" t="shared" si="0" ref="M5:M17">SUM(F5:L5)</f>
        <v>46364.114859999994</v>
      </c>
      <c r="N5" s="99">
        <f>Redskapskalkyl!C$32</f>
        <v>0</v>
      </c>
      <c r="O5" s="100">
        <f>Redskapskalkyl!C$33</f>
        <v>126.39375</v>
      </c>
      <c r="P5" s="100">
        <f>Redskapskalkyl!C$35</f>
        <v>0</v>
      </c>
      <c r="Q5" s="104">
        <f>Redskapskalkyl!C$36</f>
        <v>0</v>
      </c>
      <c r="R5" s="86"/>
    </row>
    <row r="6" spans="1:18" ht="12.75">
      <c r="A6" s="82" t="str">
        <f>VLOOKUP(Redskapskalkyl!D$2,Maskindata!$A$835:$B$850,2)</f>
        <v>Vältar</v>
      </c>
      <c r="B6" s="83" t="str">
        <f>VLOOKUP(Redskapskalkyl!D$3,Maskindata!$A$3:$F$700,2)</f>
        <v>Vält 9 m</v>
      </c>
      <c r="C6" s="83">
        <f>IF(Redskapskalkyl!D6&gt;0,Redskapskalkyl!D6,Redskapskalkyl!D5)</f>
        <v>100000</v>
      </c>
      <c r="D6" s="98">
        <f>Redskapskalkyl!D$9</f>
        <v>0</v>
      </c>
      <c r="E6" s="112">
        <f>Redskapskalkyl!D$16</f>
        <v>0</v>
      </c>
      <c r="F6" s="99">
        <f>Redskapskalkyl!D$24</f>
        <v>7926.285893749999</v>
      </c>
      <c r="G6" s="100">
        <f>Redskapskalkyl!D$25</f>
        <v>3414.7428212500004</v>
      </c>
      <c r="H6" s="100">
        <f>Redskapskalkyl!D$26</f>
        <v>0</v>
      </c>
      <c r="I6" s="98">
        <f>Redskapskalkyl!D$29</f>
        <v>1000</v>
      </c>
      <c r="J6" s="98">
        <f>Redskapskalkyl!D$28</f>
        <v>0</v>
      </c>
      <c r="K6" s="100">
        <f>Redskapskalkyl!D$30</f>
        <v>0</v>
      </c>
      <c r="L6" s="100">
        <f>Redskapskalkyl!D$27</f>
        <v>0</v>
      </c>
      <c r="M6" s="103">
        <f t="shared" si="0"/>
        <v>12341.028714999999</v>
      </c>
      <c r="N6" s="99">
        <f>Redskapskalkyl!D$32</f>
        <v>0</v>
      </c>
      <c r="O6" s="100">
        <f>Redskapskalkyl!D$33</f>
        <v>82.07386363636363</v>
      </c>
      <c r="P6" s="100">
        <f>Redskapskalkyl!D$35</f>
        <v>0</v>
      </c>
      <c r="Q6" s="104">
        <f>Redskapskalkyl!D$36</f>
        <v>0</v>
      </c>
      <c r="R6" s="86"/>
    </row>
    <row r="7" spans="1:18" ht="12.75">
      <c r="A7" s="82" t="str">
        <f>VLOOKUP(Redskapskalkyl!E$2,Maskindata!$A$835:$B$850,2)</f>
        <v>Inget valt</v>
      </c>
      <c r="B7" s="83" t="str">
        <f>VLOOKUP(Redskapskalkyl!E$3,Maskindata!$A$3:$F$700,2)</f>
        <v>Inget valt</v>
      </c>
      <c r="C7" s="83">
        <f>IF(Redskapskalkyl!E6&gt;0,Redskapskalkyl!E6,Redskapskalkyl!E5)</f>
        <v>0</v>
      </c>
      <c r="D7" s="98">
        <f>Redskapskalkyl!E$9</f>
        <v>0</v>
      </c>
      <c r="E7" s="112">
        <f>Redskapskalkyl!E$16</f>
        <v>0</v>
      </c>
      <c r="F7" s="99">
        <f>Redskapskalkyl!E$24</f>
        <v>0</v>
      </c>
      <c r="G7" s="100">
        <f>Redskapskalkyl!E$25</f>
        <v>0</v>
      </c>
      <c r="H7" s="100">
        <f>Redskapskalkyl!E$26</f>
        <v>0</v>
      </c>
      <c r="I7" s="98">
        <f>Redskapskalkyl!E$29</f>
        <v>0</v>
      </c>
      <c r="J7" s="98">
        <f>Redskapskalkyl!E$28</f>
        <v>0</v>
      </c>
      <c r="K7" s="100">
        <f>Redskapskalkyl!E$30</f>
        <v>0</v>
      </c>
      <c r="L7" s="100">
        <f>Redskapskalkyl!E$27</f>
        <v>0</v>
      </c>
      <c r="M7" s="103">
        <f t="shared" si="0"/>
        <v>0</v>
      </c>
      <c r="N7" s="99">
        <f>Redskapskalkyl!E$32</f>
        <v>0</v>
      </c>
      <c r="O7" s="100">
        <f>Redskapskalkyl!E$33</f>
        <v>0</v>
      </c>
      <c r="P7" s="100">
        <f>Redskapskalkyl!E$35</f>
        <v>0</v>
      </c>
      <c r="Q7" s="104">
        <f>Redskapskalkyl!E$36</f>
        <v>0</v>
      </c>
      <c r="R7" s="86"/>
    </row>
    <row r="8" spans="1:18" ht="12.75">
      <c r="A8" s="82" t="str">
        <f>VLOOKUP(Redskapskalkyl!F$2,Maskindata!$A$835:$B$850,2)</f>
        <v>Inget valt</v>
      </c>
      <c r="B8" s="83" t="str">
        <f>VLOOKUP(Redskapskalkyl!F$3,Maskindata!$A$3:$F$700,2)</f>
        <v>Inget valt</v>
      </c>
      <c r="C8" s="83">
        <f>IF(Redskapskalkyl!F6&gt;0,Redskapskalkyl!F6,Redskapskalkyl!F5)</f>
        <v>0</v>
      </c>
      <c r="D8" s="98">
        <f>Redskapskalkyl!F$9</f>
        <v>0</v>
      </c>
      <c r="E8" s="112">
        <f>Redskapskalkyl!F$16</f>
        <v>0</v>
      </c>
      <c r="F8" s="99">
        <f>Redskapskalkyl!F$24</f>
        <v>0</v>
      </c>
      <c r="G8" s="100">
        <f>Redskapskalkyl!F$25</f>
        <v>0</v>
      </c>
      <c r="H8" s="100">
        <f>Redskapskalkyl!F$26</f>
        <v>0</v>
      </c>
      <c r="I8" s="98">
        <f>Redskapskalkyl!F$29</f>
        <v>0</v>
      </c>
      <c r="J8" s="98">
        <f>Redskapskalkyl!F$28</f>
        <v>0</v>
      </c>
      <c r="K8" s="100">
        <f>Redskapskalkyl!F$30</f>
        <v>0</v>
      </c>
      <c r="L8" s="100">
        <f>Redskapskalkyl!F$27</f>
        <v>0</v>
      </c>
      <c r="M8" s="103">
        <f t="shared" si="0"/>
        <v>0</v>
      </c>
      <c r="N8" s="99">
        <f>Redskapskalkyl!F$32</f>
        <v>0</v>
      </c>
      <c r="O8" s="100">
        <f>Redskapskalkyl!F$33</f>
        <v>0</v>
      </c>
      <c r="P8" s="100">
        <f>Redskapskalkyl!F$35</f>
        <v>0</v>
      </c>
      <c r="Q8" s="104">
        <f>Redskapskalkyl!F$36</f>
        <v>0</v>
      </c>
      <c r="R8" s="86"/>
    </row>
    <row r="9" spans="1:18" ht="12.75">
      <c r="A9" s="82" t="str">
        <f>VLOOKUP(Redskapskalkyl!G$2,Maskindata!$A$835:$B$850,2)</f>
        <v>Inget valt</v>
      </c>
      <c r="B9" s="83" t="str">
        <f>VLOOKUP(Redskapskalkyl!G$3,Maskindata!$A$3:$F$700,2)</f>
        <v>Inget valt</v>
      </c>
      <c r="C9" s="83">
        <f>IF(Redskapskalkyl!G6&gt;0,Redskapskalkyl!G6,Redskapskalkyl!G5)</f>
        <v>0</v>
      </c>
      <c r="D9" s="98">
        <f>Redskapskalkyl!G$9</f>
        <v>0</v>
      </c>
      <c r="E9" s="112">
        <f>Redskapskalkyl!G$16</f>
        <v>0</v>
      </c>
      <c r="F9" s="99">
        <f>Redskapskalkyl!G$24</f>
        <v>0</v>
      </c>
      <c r="G9" s="100">
        <f>Redskapskalkyl!G$25</f>
        <v>0</v>
      </c>
      <c r="H9" s="100">
        <f>Redskapskalkyl!G$26</f>
        <v>0</v>
      </c>
      <c r="I9" s="98">
        <f>Redskapskalkyl!G$29</f>
        <v>0</v>
      </c>
      <c r="J9" s="98">
        <f>Redskapskalkyl!G$28</f>
        <v>0</v>
      </c>
      <c r="K9" s="100">
        <f>Redskapskalkyl!G$30</f>
        <v>0</v>
      </c>
      <c r="L9" s="100">
        <f>Redskapskalkyl!G$27</f>
        <v>0</v>
      </c>
      <c r="M9" s="103">
        <f t="shared" si="0"/>
        <v>0</v>
      </c>
      <c r="N9" s="99">
        <f>Redskapskalkyl!G$32</f>
        <v>0</v>
      </c>
      <c r="O9" s="100">
        <f>Redskapskalkyl!G$33</f>
        <v>0</v>
      </c>
      <c r="P9" s="100">
        <f>Redskapskalkyl!G$35</f>
        <v>0</v>
      </c>
      <c r="Q9" s="104">
        <f>Redskapskalkyl!G$36</f>
        <v>0</v>
      </c>
      <c r="R9" s="86"/>
    </row>
    <row r="10" spans="1:18" ht="12.75">
      <c r="A10" s="82" t="str">
        <f>VLOOKUP(Redskapskalkyl!H$2,Maskindata!$A$835:$B$850,2)</f>
        <v>Inget valt</v>
      </c>
      <c r="B10" s="83" t="str">
        <f>VLOOKUP(Redskapskalkyl!H$3,Maskindata!$A$3:$F$700,2)</f>
        <v>Inget valt</v>
      </c>
      <c r="C10" s="83">
        <f>IF(Redskapskalkyl!H6&gt;0,Redskapskalkyl!H6,Redskapskalkyl!H5)</f>
        <v>0</v>
      </c>
      <c r="D10" s="98">
        <f>Redskapskalkyl!H$9</f>
        <v>0</v>
      </c>
      <c r="E10" s="112">
        <f>Redskapskalkyl!H$16</f>
        <v>0</v>
      </c>
      <c r="F10" s="99">
        <f>Redskapskalkyl!H$24</f>
        <v>0</v>
      </c>
      <c r="G10" s="100">
        <f>Redskapskalkyl!H$25</f>
        <v>0</v>
      </c>
      <c r="H10" s="100">
        <f>Redskapskalkyl!H$26</f>
        <v>0</v>
      </c>
      <c r="I10" s="98">
        <f>Redskapskalkyl!H$29</f>
        <v>0</v>
      </c>
      <c r="J10" s="98">
        <f>Redskapskalkyl!H$28</f>
        <v>0</v>
      </c>
      <c r="K10" s="100">
        <f>Redskapskalkyl!H$30</f>
        <v>0</v>
      </c>
      <c r="L10" s="100">
        <f>Redskapskalkyl!H$27</f>
        <v>0</v>
      </c>
      <c r="M10" s="103">
        <f t="shared" si="0"/>
        <v>0</v>
      </c>
      <c r="N10" s="99">
        <f>Redskapskalkyl!H$32</f>
        <v>0</v>
      </c>
      <c r="O10" s="100">
        <f>Redskapskalkyl!H$33</f>
        <v>0</v>
      </c>
      <c r="P10" s="100">
        <f>Redskapskalkyl!H$35</f>
        <v>0</v>
      </c>
      <c r="Q10" s="104">
        <f>Redskapskalkyl!H$36</f>
        <v>0</v>
      </c>
      <c r="R10" s="86"/>
    </row>
    <row r="11" spans="1:18" ht="12.75">
      <c r="A11" s="82" t="str">
        <f>VLOOKUP(Redskapskalkyl!J$2,Maskindata!$A$835:$B$850,2)</f>
        <v>Inget valt</v>
      </c>
      <c r="B11" s="83" t="str">
        <f>VLOOKUP(Redskapskalkyl!J$3,Maskindata!$A$3:$F$700,2)</f>
        <v>Inget valt</v>
      </c>
      <c r="C11" s="83">
        <f>IF(Redskapskalkyl!J6&gt;0,Redskapskalkyl!J6,Redskapskalkyl!J5)</f>
        <v>0</v>
      </c>
      <c r="D11" s="98">
        <f>Redskapskalkyl!J$9</f>
        <v>0</v>
      </c>
      <c r="E11" s="112">
        <f>Redskapskalkyl!J$16</f>
        <v>0</v>
      </c>
      <c r="F11" s="99">
        <f>Redskapskalkyl!J$24</f>
        <v>0</v>
      </c>
      <c r="G11" s="100">
        <f>Redskapskalkyl!J$25</f>
        <v>0</v>
      </c>
      <c r="H11" s="100">
        <f>Redskapskalkyl!J$26</f>
        <v>0</v>
      </c>
      <c r="I11" s="98">
        <f>Redskapskalkyl!J$29</f>
        <v>0</v>
      </c>
      <c r="J11" s="98">
        <f>Redskapskalkyl!J$28</f>
        <v>0</v>
      </c>
      <c r="K11" s="100">
        <f>Redskapskalkyl!J$30</f>
        <v>0</v>
      </c>
      <c r="L11" s="100">
        <f>Redskapskalkyl!J$27</f>
        <v>0</v>
      </c>
      <c r="M11" s="103">
        <f t="shared" si="0"/>
        <v>0</v>
      </c>
      <c r="N11" s="99">
        <f>Redskapskalkyl!J$32</f>
        <v>0</v>
      </c>
      <c r="O11" s="100">
        <f>Redskapskalkyl!J$33</f>
        <v>0</v>
      </c>
      <c r="P11" s="100">
        <f>Redskapskalkyl!J$35</f>
        <v>0</v>
      </c>
      <c r="Q11" s="104">
        <f>Redskapskalkyl!J$36</f>
        <v>0</v>
      </c>
      <c r="R11" s="86"/>
    </row>
    <row r="12" spans="1:18" ht="12.75">
      <c r="A12" s="82" t="str">
        <f>VLOOKUP(Redskapskalkyl!K$2,Maskindata!$A$835:$B$850,2)</f>
        <v>Inget valt</v>
      </c>
      <c r="B12" s="83" t="str">
        <f>VLOOKUP(Redskapskalkyl!K$3,Maskindata!$A$3:$F$700,2)</f>
        <v>Inget valt</v>
      </c>
      <c r="C12" s="83">
        <f>IF(Redskapskalkyl!K6&gt;0,Redskapskalkyl!K6,Redskapskalkyl!K5)</f>
        <v>0</v>
      </c>
      <c r="D12" s="98">
        <f>Redskapskalkyl!K$9</f>
        <v>0</v>
      </c>
      <c r="E12" s="112">
        <f>Redskapskalkyl!K$16</f>
        <v>0</v>
      </c>
      <c r="F12" s="99">
        <f>Redskapskalkyl!K$24</f>
        <v>0</v>
      </c>
      <c r="G12" s="100">
        <f>Redskapskalkyl!K$25</f>
        <v>0</v>
      </c>
      <c r="H12" s="100">
        <f>Redskapskalkyl!K$26</f>
        <v>0</v>
      </c>
      <c r="I12" s="98">
        <f>Redskapskalkyl!K$29</f>
        <v>0</v>
      </c>
      <c r="J12" s="98">
        <f>Redskapskalkyl!K$28</f>
        <v>0</v>
      </c>
      <c r="K12" s="100">
        <f>Redskapskalkyl!K$30</f>
        <v>0</v>
      </c>
      <c r="L12" s="100">
        <f>Redskapskalkyl!K$27</f>
        <v>0</v>
      </c>
      <c r="M12" s="103">
        <f t="shared" si="0"/>
        <v>0</v>
      </c>
      <c r="N12" s="99">
        <f>Redskapskalkyl!K$32</f>
        <v>0</v>
      </c>
      <c r="O12" s="100">
        <f>Redskapskalkyl!K$33</f>
        <v>0</v>
      </c>
      <c r="P12" s="100">
        <f>Redskapskalkyl!K$35</f>
        <v>0</v>
      </c>
      <c r="Q12" s="104">
        <f>Redskapskalkyl!K$36</f>
        <v>0</v>
      </c>
      <c r="R12" s="86"/>
    </row>
    <row r="13" spans="1:18" ht="12.75">
      <c r="A13" s="82" t="str">
        <f>VLOOKUP(Redskapskalkyl!L$2,Maskindata!$A$835:$B$850,2)</f>
        <v>Inget valt</v>
      </c>
      <c r="B13" s="83" t="str">
        <f>VLOOKUP(Redskapskalkyl!L$3,Maskindata!$A$3:$F$700,2)</f>
        <v>Inget valt</v>
      </c>
      <c r="C13" s="83">
        <f>IF(Redskapskalkyl!L6&gt;0,Redskapskalkyl!L6,Redskapskalkyl!L5)</f>
        <v>0</v>
      </c>
      <c r="D13" s="98">
        <f>Redskapskalkyl!L$9</f>
        <v>0</v>
      </c>
      <c r="E13" s="112">
        <f>Redskapskalkyl!L$16</f>
        <v>0</v>
      </c>
      <c r="F13" s="99">
        <f>Redskapskalkyl!L$24</f>
        <v>0</v>
      </c>
      <c r="G13" s="100">
        <f>Redskapskalkyl!L$25</f>
        <v>0</v>
      </c>
      <c r="H13" s="100">
        <f>Redskapskalkyl!L$26</f>
        <v>0</v>
      </c>
      <c r="I13" s="98">
        <f>Redskapskalkyl!L$29</f>
        <v>0</v>
      </c>
      <c r="J13" s="98">
        <f>Redskapskalkyl!L$28</f>
        <v>0</v>
      </c>
      <c r="K13" s="100">
        <f>Redskapskalkyl!L$30</f>
        <v>0</v>
      </c>
      <c r="L13" s="100">
        <f>Redskapskalkyl!L$27</f>
        <v>0</v>
      </c>
      <c r="M13" s="103">
        <f t="shared" si="0"/>
        <v>0</v>
      </c>
      <c r="N13" s="99">
        <f>Redskapskalkyl!L$32</f>
        <v>0</v>
      </c>
      <c r="O13" s="100">
        <f>Redskapskalkyl!L$33</f>
        <v>0</v>
      </c>
      <c r="P13" s="100">
        <f>Redskapskalkyl!L$35</f>
        <v>0</v>
      </c>
      <c r="Q13" s="104">
        <f>Redskapskalkyl!L$36</f>
        <v>0</v>
      </c>
      <c r="R13" s="86"/>
    </row>
    <row r="14" spans="1:18" ht="12.75">
      <c r="A14" s="82" t="str">
        <f>VLOOKUP(Redskapskalkyl!M$2,Maskindata!$A$835:$B$850,2)</f>
        <v>Inget valt</v>
      </c>
      <c r="B14" s="83" t="str">
        <f>VLOOKUP(Redskapskalkyl!M$3,Maskindata!$A$3:$F$700,2)</f>
        <v>Inget valt</v>
      </c>
      <c r="C14" s="83">
        <f>IF(Redskapskalkyl!M6&gt;0,Redskapskalkyl!M6,Redskapskalkyl!M5)</f>
        <v>0</v>
      </c>
      <c r="D14" s="98">
        <f>Redskapskalkyl!M$9</f>
        <v>0</v>
      </c>
      <c r="E14" s="112">
        <f>Redskapskalkyl!M$16</f>
        <v>0</v>
      </c>
      <c r="F14" s="99">
        <f>Redskapskalkyl!M$24</f>
        <v>0</v>
      </c>
      <c r="G14" s="100">
        <f>Redskapskalkyl!M$25</f>
        <v>0</v>
      </c>
      <c r="H14" s="100">
        <f>Redskapskalkyl!M$26</f>
        <v>0</v>
      </c>
      <c r="I14" s="98">
        <f>Redskapskalkyl!M$29</f>
        <v>0</v>
      </c>
      <c r="J14" s="98">
        <f>Redskapskalkyl!M$28</f>
        <v>0</v>
      </c>
      <c r="K14" s="100">
        <f>Redskapskalkyl!M$30</f>
        <v>0</v>
      </c>
      <c r="L14" s="100">
        <f>Redskapskalkyl!M$27</f>
        <v>0</v>
      </c>
      <c r="M14" s="103">
        <f t="shared" si="0"/>
        <v>0</v>
      </c>
      <c r="N14" s="99">
        <f>Redskapskalkyl!M$32</f>
        <v>0</v>
      </c>
      <c r="O14" s="100">
        <f>Redskapskalkyl!M$33</f>
        <v>0</v>
      </c>
      <c r="P14" s="100">
        <f>Redskapskalkyl!M$35</f>
        <v>0</v>
      </c>
      <c r="Q14" s="104">
        <f>Redskapskalkyl!M$36</f>
        <v>0</v>
      </c>
      <c r="R14" s="86"/>
    </row>
    <row r="15" spans="1:18" ht="12.75">
      <c r="A15" s="82" t="str">
        <f>VLOOKUP(Redskapskalkyl!N$2,Maskindata!$A$835:$B$850,2)</f>
        <v>Inget valt</v>
      </c>
      <c r="B15" s="83" t="str">
        <f>VLOOKUP(Redskapskalkyl!N$3,Maskindata!$A$3:$F$700,2)</f>
        <v>Inget valt</v>
      </c>
      <c r="C15" s="83">
        <f>IF(Redskapskalkyl!N6&gt;0,Redskapskalkyl!N6,Redskapskalkyl!N5)</f>
        <v>0</v>
      </c>
      <c r="D15" s="98">
        <f>Redskapskalkyl!N$9</f>
        <v>0</v>
      </c>
      <c r="E15" s="112">
        <f>Redskapskalkyl!N$16</f>
        <v>0</v>
      </c>
      <c r="F15" s="99">
        <f>Redskapskalkyl!N$24</f>
        <v>0</v>
      </c>
      <c r="G15" s="100">
        <f>Redskapskalkyl!N$25</f>
        <v>0</v>
      </c>
      <c r="H15" s="100">
        <f>Redskapskalkyl!N$26</f>
        <v>0</v>
      </c>
      <c r="I15" s="98">
        <f>Redskapskalkyl!N$29</f>
        <v>0</v>
      </c>
      <c r="J15" s="98">
        <f>Redskapskalkyl!N$28</f>
        <v>0</v>
      </c>
      <c r="K15" s="100">
        <f>Redskapskalkyl!N$30</f>
        <v>0</v>
      </c>
      <c r="L15" s="100">
        <f>Redskapskalkyl!N$27</f>
        <v>0</v>
      </c>
      <c r="M15" s="103">
        <f t="shared" si="0"/>
        <v>0</v>
      </c>
      <c r="N15" s="99">
        <f>Redskapskalkyl!N$32</f>
        <v>0</v>
      </c>
      <c r="O15" s="100">
        <f>Redskapskalkyl!N$33</f>
        <v>0</v>
      </c>
      <c r="P15" s="100">
        <f>Redskapskalkyl!N$35</f>
        <v>0</v>
      </c>
      <c r="Q15" s="104">
        <f>Redskapskalkyl!N$36</f>
        <v>0</v>
      </c>
      <c r="R15" s="86"/>
    </row>
    <row r="16" spans="1:18" ht="12.75">
      <c r="A16" s="82" t="str">
        <f>VLOOKUP(Redskapskalkyl!O$2,Maskindata!$A$835:$B$850,2)</f>
        <v>Inget valt</v>
      </c>
      <c r="B16" s="83" t="str">
        <f>VLOOKUP(Redskapskalkyl!O$3,Maskindata!$A$3:$F$700,2)</f>
        <v>Inget valt</v>
      </c>
      <c r="C16" s="83">
        <f>IF(Redskapskalkyl!O6&gt;0,Redskapskalkyl!O6,Redskapskalkyl!O5)</f>
        <v>0</v>
      </c>
      <c r="D16" s="98">
        <f>Redskapskalkyl!O$9</f>
        <v>0</v>
      </c>
      <c r="E16" s="112">
        <f>Redskapskalkyl!O$16</f>
        <v>0</v>
      </c>
      <c r="F16" s="99">
        <f>Redskapskalkyl!O$24</f>
        <v>0</v>
      </c>
      <c r="G16" s="100">
        <f>Redskapskalkyl!O$25</f>
        <v>0</v>
      </c>
      <c r="H16" s="100">
        <f>Redskapskalkyl!O$26</f>
        <v>0</v>
      </c>
      <c r="I16" s="98">
        <f>Redskapskalkyl!O$29</f>
        <v>0</v>
      </c>
      <c r="J16" s="98">
        <f>Redskapskalkyl!O$28</f>
        <v>0</v>
      </c>
      <c r="K16" s="100">
        <f>Redskapskalkyl!O$30</f>
        <v>0</v>
      </c>
      <c r="L16" s="100">
        <f>Redskapskalkyl!O$27</f>
        <v>0</v>
      </c>
      <c r="M16" s="103">
        <f t="shared" si="0"/>
        <v>0</v>
      </c>
      <c r="N16" s="99">
        <f>Redskapskalkyl!O$32</f>
        <v>0</v>
      </c>
      <c r="O16" s="100">
        <f>Redskapskalkyl!O$33</f>
        <v>0</v>
      </c>
      <c r="P16" s="100">
        <f>Redskapskalkyl!O$35</f>
        <v>0</v>
      </c>
      <c r="Q16" s="104">
        <f>Redskapskalkyl!O$36</f>
        <v>0</v>
      </c>
      <c r="R16" s="86"/>
    </row>
    <row r="17" spans="1:18" ht="12.75">
      <c r="A17" s="87" t="str">
        <f>VLOOKUP(Redskapskalkyl!P$2,Maskindata!$A$835:$B$850,2)</f>
        <v>Inget valt</v>
      </c>
      <c r="B17" s="88" t="str">
        <f>VLOOKUP(Redskapskalkyl!P$3,Maskindata!$A$3:$F$700,2)</f>
        <v>Inget valt</v>
      </c>
      <c r="C17" s="88">
        <f>IF(Redskapskalkyl!P6&gt;0,Redskapskalkyl!P6,Redskapskalkyl!P5)</f>
        <v>0</v>
      </c>
      <c r="D17" s="113">
        <f>Redskapskalkyl!P$9</f>
        <v>0</v>
      </c>
      <c r="E17" s="114">
        <f>Redskapskalkyl!P$16</f>
        <v>0</v>
      </c>
      <c r="F17" s="115">
        <f>Redskapskalkyl!P$24</f>
        <v>0</v>
      </c>
      <c r="G17" s="116">
        <f>Redskapskalkyl!P$25</f>
        <v>0</v>
      </c>
      <c r="H17" s="116">
        <f>Redskapskalkyl!P$26</f>
        <v>0</v>
      </c>
      <c r="I17" s="113">
        <f>Redskapskalkyl!P$29</f>
        <v>0</v>
      </c>
      <c r="J17" s="113">
        <f>Redskapskalkyl!P$28</f>
        <v>0</v>
      </c>
      <c r="K17" s="116">
        <f>Redskapskalkyl!P$30</f>
        <v>0</v>
      </c>
      <c r="L17" s="116">
        <f>Redskapskalkyl!P$27</f>
        <v>0</v>
      </c>
      <c r="M17" s="117">
        <f t="shared" si="0"/>
        <v>0</v>
      </c>
      <c r="N17" s="115">
        <f>Redskapskalkyl!P$32</f>
        <v>0</v>
      </c>
      <c r="O17" s="116">
        <f>Redskapskalkyl!P$33</f>
        <v>0</v>
      </c>
      <c r="P17" s="116">
        <f>Redskapskalkyl!P$35</f>
        <v>0</v>
      </c>
      <c r="Q17" s="118">
        <f>Redskapskalkyl!P$36</f>
        <v>0</v>
      </c>
      <c r="R17" s="86"/>
    </row>
    <row r="18" spans="6:18" ht="12.75">
      <c r="F18" s="85"/>
      <c r="G18" s="85"/>
      <c r="H18" s="85"/>
      <c r="I18" s="85"/>
      <c r="J18" s="85"/>
      <c r="K18" s="85"/>
      <c r="L18" s="85"/>
      <c r="M18" s="86"/>
      <c r="N18" s="85"/>
      <c r="O18" s="86"/>
      <c r="P18" s="86"/>
      <c r="Q18" s="86"/>
      <c r="R18" s="86"/>
    </row>
    <row r="19" spans="1:18" ht="12.75">
      <c r="A19" s="89" t="s">
        <v>269</v>
      </c>
      <c r="B19" s="90"/>
      <c r="C19" s="91">
        <f>SUM(C4:C18)</f>
        <v>610000</v>
      </c>
      <c r="D19" s="90"/>
      <c r="E19" s="90"/>
      <c r="F19" s="105">
        <f>SUM(F4:F18)</f>
        <v>48350.343951874995</v>
      </c>
      <c r="G19" s="105">
        <f aca="true" t="shared" si="1" ref="G19:M19">SUM(G4:G18)</f>
        <v>20829.931209625003</v>
      </c>
      <c r="H19" s="105">
        <f t="shared" si="1"/>
        <v>9548.61111111111</v>
      </c>
      <c r="I19" s="105">
        <f t="shared" si="1"/>
        <v>3000</v>
      </c>
      <c r="J19" s="105">
        <f t="shared" si="1"/>
        <v>31294.46022727273</v>
      </c>
      <c r="K19" s="105">
        <f t="shared" si="1"/>
        <v>74336.25413665101</v>
      </c>
      <c r="L19" s="105">
        <f t="shared" si="1"/>
        <v>39062.5</v>
      </c>
      <c r="M19" s="119">
        <f t="shared" si="1"/>
        <v>226422.10063653486</v>
      </c>
      <c r="N19" s="85"/>
      <c r="O19" s="86"/>
      <c r="P19" s="86"/>
      <c r="Q19" s="86"/>
      <c r="R19" s="86"/>
    </row>
    <row r="20" spans="6:18" ht="12.75">
      <c r="F20" s="86"/>
      <c r="G20" s="86"/>
      <c r="H20" s="86"/>
      <c r="I20" s="86"/>
      <c r="J20" s="86"/>
      <c r="K20" s="86"/>
      <c r="L20" s="86"/>
      <c r="M20" s="86"/>
      <c r="N20" s="85"/>
      <c r="O20" s="92" t="s">
        <v>318</v>
      </c>
      <c r="P20" s="86"/>
      <c r="Q20" s="86"/>
      <c r="R20" s="86"/>
    </row>
    <row r="21" spans="1:18" ht="12.75">
      <c r="A21" s="71"/>
      <c r="B21" s="72"/>
      <c r="C21" s="72"/>
      <c r="D21" s="107" t="s">
        <v>288</v>
      </c>
      <c r="E21" s="74"/>
      <c r="F21" s="73" t="s">
        <v>263</v>
      </c>
      <c r="G21" s="72"/>
      <c r="H21" s="72"/>
      <c r="I21" s="107" t="s">
        <v>285</v>
      </c>
      <c r="J21" s="74"/>
      <c r="K21" s="125"/>
      <c r="L21" s="73" t="s">
        <v>270</v>
      </c>
      <c r="M21" s="74"/>
      <c r="N21" s="82"/>
      <c r="O21" s="71" t="s">
        <v>287</v>
      </c>
      <c r="P21" s="72"/>
      <c r="Q21" s="127">
        <f>C19+C30</f>
        <v>1210000</v>
      </c>
      <c r="R21" s="86"/>
    </row>
    <row r="22" spans="1:18" ht="12.75">
      <c r="A22" s="93" t="s">
        <v>271</v>
      </c>
      <c r="B22" s="77" t="s">
        <v>272</v>
      </c>
      <c r="C22" s="77" t="s">
        <v>216</v>
      </c>
      <c r="D22" s="101" t="s">
        <v>289</v>
      </c>
      <c r="E22" s="94" t="s">
        <v>284</v>
      </c>
      <c r="F22" s="78" t="s">
        <v>268</v>
      </c>
      <c r="G22" s="79" t="s">
        <v>9</v>
      </c>
      <c r="H22" s="79" t="s">
        <v>4</v>
      </c>
      <c r="I22" s="79" t="s">
        <v>127</v>
      </c>
      <c r="J22" s="80" t="s">
        <v>273</v>
      </c>
      <c r="K22" s="78" t="s">
        <v>265</v>
      </c>
      <c r="L22" s="78" t="s">
        <v>274</v>
      </c>
      <c r="M22" s="80" t="s">
        <v>14</v>
      </c>
      <c r="N22" s="82"/>
      <c r="O22" s="82" t="s">
        <v>276</v>
      </c>
      <c r="P22" s="83"/>
      <c r="Q22" s="96">
        <f>Q21/SUM(Grödor!D4:K4)</f>
        <v>4033.3333333333335</v>
      </c>
      <c r="R22" s="95"/>
    </row>
    <row r="23" spans="1:18" ht="12.75">
      <c r="A23" s="93" t="str">
        <f>VLOOKUP(Traktorkalkyl!B$3,Traktordata!$A$1:$F$28,2)</f>
        <v>Valtra, T140</v>
      </c>
      <c r="B23" s="106">
        <f>Traktorkalkyl!$B$6</f>
        <v>99.36</v>
      </c>
      <c r="C23" s="106">
        <f>IF(Traktorkalkyl!B$9&gt;0,Traktorkalkyl!$B$7,0)</f>
        <v>600000</v>
      </c>
      <c r="D23" s="106">
        <f>Traktorkalkyl!$B$11</f>
        <v>217.01388888888889</v>
      </c>
      <c r="E23" s="106">
        <f>Traktorkalkyl!$B$12</f>
        <v>0</v>
      </c>
      <c r="F23" s="106">
        <f>Traktorkalkyl!$B$17</f>
        <v>42282.29683748043</v>
      </c>
      <c r="G23" s="106">
        <f>Traktorkalkyl!$B$18</f>
        <v>21543.54063250391</v>
      </c>
      <c r="H23" s="106">
        <f>Traktorkalkyl!$B$19</f>
        <v>6510.416666666667</v>
      </c>
      <c r="I23" s="106">
        <f>Traktorkalkyl!$B$20+Traktorkalkyl!$B$21</f>
        <v>4000</v>
      </c>
      <c r="J23" s="108">
        <f aca="true" t="shared" si="2" ref="J23:J28">SUM(F23:I23)</f>
        <v>74336.25413665101</v>
      </c>
      <c r="K23" s="126">
        <f>Traktorkalkyl!$B$23</f>
        <v>342.5414590616879</v>
      </c>
      <c r="L23" s="78">
        <f>Grunddata!$B$5*E23</f>
        <v>0</v>
      </c>
      <c r="M23" s="81">
        <f>Grunddata!$B$6*Traktorkalkyl!$B$13*E23</f>
        <v>0</v>
      </c>
      <c r="N23" s="82"/>
      <c r="O23" s="82" t="s">
        <v>277</v>
      </c>
      <c r="P23" s="83"/>
      <c r="Q23" s="96">
        <f>J34/Grunddata!B6</f>
        <v>5215.743371212122</v>
      </c>
      <c r="R23" s="95"/>
    </row>
    <row r="24" spans="1:17" ht="12.75">
      <c r="A24" s="93" t="str">
        <f>VLOOKUP(Traktorkalkyl!C$3,Traktordata!$A$1:$F$28,2)</f>
        <v>Ingen vald</v>
      </c>
      <c r="B24" s="106">
        <f>Traktorkalkyl!$C$6</f>
        <v>0</v>
      </c>
      <c r="C24" s="106">
        <f>IF(Traktorkalkyl!C$9&gt;0,Traktorkalkyl!$C$7,0)</f>
        <v>0</v>
      </c>
      <c r="D24" s="106">
        <f>Traktorkalkyl!$C$11</f>
        <v>0</v>
      </c>
      <c r="E24" s="106">
        <f>Traktorkalkyl!$C$12</f>
        <v>50</v>
      </c>
      <c r="F24" s="106">
        <f>Traktorkalkyl!$C$17</f>
        <v>0</v>
      </c>
      <c r="G24" s="106">
        <f>Traktorkalkyl!$C$18</f>
        <v>0</v>
      </c>
      <c r="H24" s="106">
        <f>Traktorkalkyl!$C$19</f>
        <v>0</v>
      </c>
      <c r="I24" s="106">
        <f>Traktorkalkyl!$C$20+Traktorkalkyl!$C$21</f>
        <v>0</v>
      </c>
      <c r="J24" s="108">
        <f t="shared" si="2"/>
        <v>0</v>
      </c>
      <c r="K24" s="131">
        <f>Traktorkalkyl!$C$23</f>
        <v>0</v>
      </c>
      <c r="L24" s="78">
        <f>Grunddata!$B$5*E24</f>
        <v>9000</v>
      </c>
      <c r="M24" s="81">
        <f>Grunddata!$B$6*Traktorkalkyl!$C$13*E24</f>
        <v>7500</v>
      </c>
      <c r="N24" s="82"/>
      <c r="O24" s="93" t="s">
        <v>279</v>
      </c>
      <c r="P24" s="83"/>
      <c r="Q24" s="96"/>
    </row>
    <row r="25" spans="1:17" ht="12.75">
      <c r="A25" s="93" t="str">
        <f>VLOOKUP(Traktorkalkyl!D$3,Traktordata!$A$1:$F$28,2)</f>
        <v>Ingen vald</v>
      </c>
      <c r="B25" s="106">
        <f>Traktorkalkyl!$D$6</f>
        <v>0</v>
      </c>
      <c r="C25" s="106">
        <f>IF(Traktorkalkyl!D$9&gt;0,Traktorkalkyl!$D$7,0)</f>
        <v>0</v>
      </c>
      <c r="D25" s="106">
        <f>Traktorkalkyl!$D$11</f>
        <v>0</v>
      </c>
      <c r="E25" s="106">
        <f>Traktorkalkyl!$D$12</f>
        <v>0</v>
      </c>
      <c r="F25" s="106">
        <f>Traktorkalkyl!$D$17</f>
        <v>0</v>
      </c>
      <c r="G25" s="106">
        <f>Traktorkalkyl!$D$18</f>
        <v>0</v>
      </c>
      <c r="H25" s="106">
        <f>Traktorkalkyl!$D$19</f>
        <v>0</v>
      </c>
      <c r="I25" s="106">
        <f>Traktorkalkyl!$D$20+Traktorkalkyl!$D$21</f>
        <v>0</v>
      </c>
      <c r="J25" s="108">
        <f t="shared" si="2"/>
        <v>0</v>
      </c>
      <c r="K25" s="131">
        <f>Traktorkalkyl!$D$23</f>
        <v>0</v>
      </c>
      <c r="L25" s="78">
        <f>Grunddata!$B$5*E25</f>
        <v>0</v>
      </c>
      <c r="M25" s="81">
        <f>Grunddata!$B$6*Traktorkalkyl!$D$13*E25</f>
        <v>0</v>
      </c>
      <c r="N25" s="82"/>
      <c r="O25" s="82" t="s">
        <v>316</v>
      </c>
      <c r="P25" s="83"/>
      <c r="Q25" s="112">
        <f>Grödor!L32</f>
        <v>559.0565235384496</v>
      </c>
    </row>
    <row r="26" spans="1:17" ht="12.75">
      <c r="A26" s="93" t="str">
        <f>VLOOKUP(Traktorkalkyl!E$3,Traktordata!$A$1:$F$28,2)</f>
        <v>Ingen vald</v>
      </c>
      <c r="B26" s="106">
        <f>Traktorkalkyl!$E$6</f>
        <v>0</v>
      </c>
      <c r="C26" s="106">
        <f>IF(Traktorkalkyl!E$9&gt;0,Traktorkalkyl!$E$7,0)</f>
        <v>0</v>
      </c>
      <c r="D26" s="106">
        <f>Traktorkalkyl!$E$11</f>
        <v>0</v>
      </c>
      <c r="E26" s="106">
        <f>Traktorkalkyl!$E$12</f>
        <v>0</v>
      </c>
      <c r="F26" s="106">
        <f>Traktorkalkyl!$E$17</f>
        <v>0</v>
      </c>
      <c r="G26" s="106">
        <f>Traktorkalkyl!$E$18</f>
        <v>0</v>
      </c>
      <c r="H26" s="106">
        <f>Traktorkalkyl!$E$19</f>
        <v>0</v>
      </c>
      <c r="I26" s="106">
        <f>Traktorkalkyl!$E$20+Traktorkalkyl!$E$21</f>
        <v>0</v>
      </c>
      <c r="J26" s="108">
        <f t="shared" si="2"/>
        <v>0</v>
      </c>
      <c r="K26" s="131">
        <f>Traktorkalkyl!$E$23</f>
        <v>0</v>
      </c>
      <c r="L26" s="78">
        <f>Grunddata!$B$5*E26</f>
        <v>0</v>
      </c>
      <c r="M26" s="81">
        <f>Grunddata!$B$6*Traktorkalkyl!$E$13*E26</f>
        <v>0</v>
      </c>
      <c r="N26" s="82"/>
      <c r="O26" s="82" t="s">
        <v>317</v>
      </c>
      <c r="P26" s="83"/>
      <c r="Q26" s="112">
        <f>Grödor!L34</f>
        <v>167716.95706153486</v>
      </c>
    </row>
    <row r="27" spans="1:17" ht="12.75">
      <c r="A27" s="93" t="str">
        <f>VLOOKUP(Traktorkalkyl!F$3,Traktordata!$A$1:$F$28,2)</f>
        <v>Ingen vald</v>
      </c>
      <c r="B27" s="106">
        <f>Traktorkalkyl!$F$6</f>
        <v>0</v>
      </c>
      <c r="C27" s="106">
        <f>IF(Traktorkalkyl!F$9&gt;0,Traktorkalkyl!$F$7,0)</f>
        <v>0</v>
      </c>
      <c r="D27" s="106">
        <f>Traktorkalkyl!$F$11</f>
        <v>0</v>
      </c>
      <c r="E27" s="106">
        <f>Traktorkalkyl!$F$12</f>
        <v>0</v>
      </c>
      <c r="F27" s="106">
        <f>Traktorkalkyl!$F$17</f>
        <v>0</v>
      </c>
      <c r="G27" s="106">
        <f>Traktorkalkyl!$F$18</f>
        <v>0</v>
      </c>
      <c r="H27" s="106">
        <f>Traktorkalkyl!$F$19</f>
        <v>0</v>
      </c>
      <c r="I27" s="106">
        <f>Traktorkalkyl!$F$20+Traktorkalkyl!$F$21</f>
        <v>0</v>
      </c>
      <c r="J27" s="108">
        <f t="shared" si="2"/>
        <v>0</v>
      </c>
      <c r="K27" s="131">
        <f>Traktorkalkyl!$F$23</f>
        <v>0</v>
      </c>
      <c r="L27" s="78">
        <f>Grunddata!$B$5*E27</f>
        <v>0</v>
      </c>
      <c r="M27" s="81">
        <f>Grunddata!$B$6*Traktorkalkyl!$F$13*E27</f>
        <v>0</v>
      </c>
      <c r="N27" s="82"/>
      <c r="O27" s="82" t="s">
        <v>280</v>
      </c>
      <c r="P27" s="83"/>
      <c r="Q27" s="130">
        <f>Grödor!L31</f>
        <v>0.7233796296296297</v>
      </c>
    </row>
    <row r="28" spans="1:17" ht="12.75">
      <c r="A28" s="120" t="str">
        <f>VLOOKUP(Traktorkalkyl!G$3,Traktordata!$A$1:$F$28,2)</f>
        <v>Ingen vald</v>
      </c>
      <c r="B28" s="121">
        <f>Traktorkalkyl!$G$6</f>
        <v>0</v>
      </c>
      <c r="C28" s="121">
        <f>IF(Traktorkalkyl!G$9&gt;0,Traktorkalkyl!$G$7,0)</f>
        <v>0</v>
      </c>
      <c r="D28" s="121">
        <f>Traktorkalkyl!$G$11</f>
        <v>0</v>
      </c>
      <c r="E28" s="121">
        <f>Traktorkalkyl!$G$12</f>
        <v>0</v>
      </c>
      <c r="F28" s="121">
        <f>Traktorkalkyl!$G$17</f>
        <v>0</v>
      </c>
      <c r="G28" s="121">
        <f>Traktorkalkyl!$G$18</f>
        <v>0</v>
      </c>
      <c r="H28" s="121">
        <f>Traktorkalkyl!$G$19</f>
        <v>0</v>
      </c>
      <c r="I28" s="121">
        <f>Traktorkalkyl!$G$20+Traktorkalkyl!$G$21</f>
        <v>0</v>
      </c>
      <c r="J28" s="122">
        <f t="shared" si="2"/>
        <v>0</v>
      </c>
      <c r="K28" s="131">
        <f>Traktorkalkyl!$G$23</f>
        <v>0</v>
      </c>
      <c r="L28" s="123">
        <f>Grunddata!$B$5*E28</f>
        <v>0</v>
      </c>
      <c r="M28" s="124">
        <f>Grunddata!$B$6*Traktorkalkyl!$G$13*E28</f>
        <v>0</v>
      </c>
      <c r="N28" s="82"/>
      <c r="O28" s="82" t="s">
        <v>336</v>
      </c>
      <c r="P28" s="83"/>
      <c r="Q28" s="112">
        <f>Grödor!L33</f>
        <v>217.01388888888889</v>
      </c>
    </row>
    <row r="29" spans="6:17" ht="12.75">
      <c r="F29" s="88"/>
      <c r="G29" s="88"/>
      <c r="H29" s="88"/>
      <c r="I29" s="88"/>
      <c r="J29" s="88"/>
      <c r="O29" s="93" t="s">
        <v>315</v>
      </c>
      <c r="P29" s="83"/>
      <c r="Q29" s="96"/>
    </row>
    <row r="30" spans="1:17" ht="12.75">
      <c r="A30" s="89" t="s">
        <v>275</v>
      </c>
      <c r="B30" s="90"/>
      <c r="C30" s="110">
        <f aca="true" t="shared" si="3" ref="C30:J30">SUM(C23:C29)</f>
        <v>600000</v>
      </c>
      <c r="D30" s="110">
        <f t="shared" si="3"/>
        <v>217.01388888888889</v>
      </c>
      <c r="E30" s="110">
        <f t="shared" si="3"/>
        <v>50</v>
      </c>
      <c r="F30" s="109">
        <f t="shared" si="3"/>
        <v>42282.29683748043</v>
      </c>
      <c r="G30" s="109">
        <f t="shared" si="3"/>
        <v>21543.54063250391</v>
      </c>
      <c r="H30" s="109">
        <f t="shared" si="3"/>
        <v>6510.416666666667</v>
      </c>
      <c r="I30" s="109">
        <f t="shared" si="3"/>
        <v>4000</v>
      </c>
      <c r="J30" s="109">
        <f t="shared" si="3"/>
        <v>74336.25413665101</v>
      </c>
      <c r="K30" s="128">
        <f>SUM(K29:K29)</f>
        <v>0</v>
      </c>
      <c r="L30" s="129">
        <f>SUM(L23:L29)</f>
        <v>9000</v>
      </c>
      <c r="M30" s="129">
        <f>SUM(M23:M29)</f>
        <v>7500</v>
      </c>
      <c r="O30" s="82" t="s">
        <v>323</v>
      </c>
      <c r="P30" s="83"/>
      <c r="Q30" s="112">
        <f>'TB vald växtföljd'!J39</f>
        <v>1229560.702938465</v>
      </c>
    </row>
    <row r="31" spans="6:17" ht="12.75">
      <c r="F31" s="78" t="s">
        <v>268</v>
      </c>
      <c r="G31" s="79" t="s">
        <v>9</v>
      </c>
      <c r="H31" s="79" t="s">
        <v>4</v>
      </c>
      <c r="I31" s="79" t="s">
        <v>127</v>
      </c>
      <c r="J31" s="80" t="s">
        <v>273</v>
      </c>
      <c r="O31" s="87" t="s">
        <v>324</v>
      </c>
      <c r="P31" s="88"/>
      <c r="Q31" s="112">
        <f>'TB vald växtföljd'!J37</f>
        <v>4098.53567646155</v>
      </c>
    </row>
    <row r="32" spans="1:10" ht="12.75">
      <c r="A32" s="89" t="s">
        <v>278</v>
      </c>
      <c r="B32" s="90"/>
      <c r="C32" s="90"/>
      <c r="D32" s="90"/>
      <c r="E32" s="90"/>
      <c r="F32" s="110">
        <f>F19+F30</f>
        <v>90632.64078935543</v>
      </c>
      <c r="G32" s="110">
        <f>G19+G30</f>
        <v>42373.471842128914</v>
      </c>
      <c r="H32" s="110">
        <f>H19+H30</f>
        <v>16059.027777777777</v>
      </c>
      <c r="I32" s="110">
        <f>I19+I30</f>
        <v>7000</v>
      </c>
      <c r="J32" s="111">
        <f>SUM(F32:I32)</f>
        <v>156065.14040926212</v>
      </c>
    </row>
    <row r="33" spans="1:10" ht="12.75">
      <c r="A33" s="89" t="s">
        <v>325</v>
      </c>
      <c r="B33" s="90"/>
      <c r="C33" s="90"/>
      <c r="D33" s="90"/>
      <c r="E33" s="90"/>
      <c r="F33" s="90"/>
      <c r="G33" s="90"/>
      <c r="H33" s="90"/>
      <c r="I33" s="90"/>
      <c r="J33" s="111">
        <f>L19+L30</f>
        <v>48062.5</v>
      </c>
    </row>
    <row r="34" spans="1:10" ht="12.75">
      <c r="A34" s="89" t="s">
        <v>286</v>
      </c>
      <c r="B34" s="90"/>
      <c r="C34" s="90"/>
      <c r="D34" s="90"/>
      <c r="E34" s="90"/>
      <c r="F34" s="90"/>
      <c r="G34" s="90"/>
      <c r="H34" s="90"/>
      <c r="I34" s="90"/>
      <c r="J34" s="111">
        <f>J19+L31</f>
        <v>31294.46022727273</v>
      </c>
    </row>
    <row r="35" ht="12.75">
      <c r="A35" s="97"/>
    </row>
    <row r="36" spans="1:10" ht="12.75">
      <c r="A36" s="89" t="s">
        <v>273</v>
      </c>
      <c r="B36" s="90"/>
      <c r="C36" s="90"/>
      <c r="D36" s="90"/>
      <c r="E36" s="90"/>
      <c r="F36" s="90"/>
      <c r="G36" s="90"/>
      <c r="H36" s="90"/>
      <c r="I36" s="90"/>
      <c r="J36" s="111">
        <f>SUM(J32:J34)</f>
        <v>235422.10063653486</v>
      </c>
    </row>
  </sheetData>
  <sheetProtection password="CF57" sheet="1" objects="1" scenarios="1" selectLockedCells="1" selectUnlockedCells="1"/>
  <printOptions/>
  <pageMargins left="0.6299212598425197" right="0.6299212598425197" top="0.984251968503937" bottom="0.984251968503937" header="0.5118110236220472" footer="0.5118110236220472"/>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codeName="Sheet9"/>
  <dimension ref="A1:CE38"/>
  <sheetViews>
    <sheetView zoomScalePageLayoutView="0" workbookViewId="0" topLeftCell="A1">
      <selection activeCell="A16" sqref="A16"/>
    </sheetView>
  </sheetViews>
  <sheetFormatPr defaultColWidth="8.8515625" defaultRowHeight="12.75"/>
  <cols>
    <col min="1" max="1" width="19.421875" style="0" customWidth="1"/>
    <col min="2" max="17" width="7.421875" style="0" customWidth="1"/>
    <col min="18" max="18" width="17.140625" style="0" customWidth="1"/>
    <col min="19" max="22" width="7.421875" style="0" customWidth="1"/>
    <col min="23" max="23" width="7.421875" style="172" customWidth="1"/>
    <col min="24" max="26" width="7.421875" style="0" customWidth="1"/>
    <col min="27" max="27" width="7.421875" style="172" customWidth="1"/>
    <col min="28" max="30" width="7.421875" style="0" customWidth="1"/>
    <col min="31" max="31" width="7.421875" style="172" customWidth="1"/>
    <col min="32" max="33" width="7.421875" style="0" customWidth="1"/>
    <col min="34" max="34" width="8.8515625" style="0" customWidth="1"/>
    <col min="35" max="35" width="21.7109375" style="0" customWidth="1"/>
    <col min="36" max="36" width="7.421875" style="178" customWidth="1"/>
    <col min="37" max="39" width="7.421875" style="0" customWidth="1"/>
    <col min="40" max="40" width="7.421875" style="1" customWidth="1"/>
    <col min="41" max="43" width="7.421875" style="0" customWidth="1"/>
    <col min="44" max="44" width="7.421875" style="172" customWidth="1"/>
    <col min="45" max="47" width="7.421875" style="0" customWidth="1"/>
    <col min="48" max="48" width="7.421875" style="172" customWidth="1"/>
    <col min="49" max="51" width="7.421875" style="0" customWidth="1"/>
  </cols>
  <sheetData>
    <row r="1" spans="1:57" ht="18">
      <c r="A1" s="132" t="s">
        <v>292</v>
      </c>
      <c r="B1" s="133"/>
      <c r="C1" s="133"/>
      <c r="D1" s="133"/>
      <c r="E1" s="133"/>
      <c r="F1" s="133"/>
      <c r="G1" s="133"/>
      <c r="H1" s="133"/>
      <c r="I1" s="133"/>
      <c r="J1" s="133"/>
      <c r="K1" s="133"/>
      <c r="L1" s="133"/>
      <c r="M1" s="133"/>
      <c r="N1" s="133"/>
      <c r="O1" s="133"/>
      <c r="P1" s="133"/>
      <c r="Q1" s="133"/>
      <c r="R1" s="133"/>
      <c r="S1" s="133"/>
      <c r="T1" s="133"/>
      <c r="U1" s="133"/>
      <c r="V1" s="133"/>
      <c r="W1" s="169"/>
      <c r="X1" s="133"/>
      <c r="Y1" s="133"/>
      <c r="Z1" s="133"/>
      <c r="AA1" s="169"/>
      <c r="AB1" s="133"/>
      <c r="AC1" s="133"/>
      <c r="AD1" s="133"/>
      <c r="AE1" s="169"/>
      <c r="AF1" s="133"/>
      <c r="AG1" s="133"/>
      <c r="AH1" s="133"/>
      <c r="AI1" s="133"/>
      <c r="AJ1" s="173"/>
      <c r="AK1" s="133"/>
      <c r="AL1" s="133"/>
      <c r="AM1" s="133"/>
      <c r="AN1" s="137"/>
      <c r="AO1" s="133"/>
      <c r="AP1" s="133"/>
      <c r="AQ1" s="133"/>
      <c r="AR1" s="169"/>
      <c r="AS1" s="133"/>
      <c r="AT1" s="133"/>
      <c r="AU1" s="133"/>
      <c r="AV1" s="169"/>
      <c r="AW1" s="133"/>
      <c r="AX1" s="133"/>
      <c r="AY1" s="133"/>
      <c r="AZ1" s="133"/>
      <c r="BD1" t="s">
        <v>333</v>
      </c>
      <c r="BE1">
        <v>1</v>
      </c>
    </row>
    <row r="2" spans="1:83" ht="12.75">
      <c r="A2" s="133"/>
      <c r="B2" s="134"/>
      <c r="C2" s="161" t="s">
        <v>293</v>
      </c>
      <c r="D2" s="189" t="s">
        <v>334</v>
      </c>
      <c r="E2" s="135"/>
      <c r="F2" s="162"/>
      <c r="G2" s="161" t="s">
        <v>293</v>
      </c>
      <c r="H2" s="189" t="s">
        <v>259</v>
      </c>
      <c r="I2" s="136"/>
      <c r="J2" s="165"/>
      <c r="K2" s="161" t="s">
        <v>293</v>
      </c>
      <c r="L2" s="189" t="s">
        <v>326</v>
      </c>
      <c r="M2" s="136"/>
      <c r="N2" s="165"/>
      <c r="O2" s="161" t="s">
        <v>293</v>
      </c>
      <c r="P2" s="189" t="s">
        <v>328</v>
      </c>
      <c r="Q2" s="136"/>
      <c r="R2" s="143" t="s">
        <v>292</v>
      </c>
      <c r="S2" s="134" t="s">
        <v>293</v>
      </c>
      <c r="T2" s="161"/>
      <c r="U2" s="189" t="s">
        <v>327</v>
      </c>
      <c r="V2" s="136"/>
      <c r="W2" s="170"/>
      <c r="X2" s="161" t="s">
        <v>293</v>
      </c>
      <c r="Y2" s="189" t="s">
        <v>330</v>
      </c>
      <c r="Z2" s="136"/>
      <c r="AA2" s="170"/>
      <c r="AB2" s="161" t="s">
        <v>293</v>
      </c>
      <c r="AC2" s="189" t="s">
        <v>331</v>
      </c>
      <c r="AD2" s="136"/>
      <c r="AE2" s="170"/>
      <c r="AF2" s="161" t="s">
        <v>293</v>
      </c>
      <c r="AG2" s="189" t="s">
        <v>329</v>
      </c>
      <c r="AH2" s="136"/>
      <c r="AI2" s="143" t="s">
        <v>292</v>
      </c>
      <c r="AJ2" s="174" t="s">
        <v>293</v>
      </c>
      <c r="AK2" s="161"/>
      <c r="AL2" s="189" t="s">
        <v>335</v>
      </c>
      <c r="AM2" s="136"/>
      <c r="AN2" s="179"/>
      <c r="AO2" s="161" t="s">
        <v>293</v>
      </c>
      <c r="AP2" s="189" t="s">
        <v>85</v>
      </c>
      <c r="AQ2" s="136"/>
      <c r="AR2" s="170"/>
      <c r="AS2" s="161" t="s">
        <v>293</v>
      </c>
      <c r="AT2" s="189" t="s">
        <v>85</v>
      </c>
      <c r="AU2" s="136"/>
      <c r="AV2" s="170"/>
      <c r="AW2" s="161" t="s">
        <v>293</v>
      </c>
      <c r="AX2" s="189" t="s">
        <v>85</v>
      </c>
      <c r="AY2" s="136"/>
      <c r="AZ2" s="160"/>
      <c r="BD2" t="str">
        <f>D2</f>
        <v>Träda</v>
      </c>
      <c r="BE2">
        <v>2</v>
      </c>
      <c r="BF2" s="23">
        <f>E$6</f>
        <v>0</v>
      </c>
      <c r="BG2" s="23">
        <f>E$7</f>
        <v>2337</v>
      </c>
      <c r="BH2" s="23">
        <f>E$8</f>
        <v>0</v>
      </c>
      <c r="BI2" s="23">
        <f>E$9</f>
        <v>2337</v>
      </c>
      <c r="BJ2" s="23">
        <f>E$10</f>
        <v>0</v>
      </c>
      <c r="BK2" s="23">
        <f>E$11</f>
        <v>0</v>
      </c>
      <c r="BL2" s="23">
        <f>E$12</f>
        <v>0</v>
      </c>
      <c r="BM2" s="23">
        <f>E$13</f>
        <v>0</v>
      </c>
      <c r="BN2" s="23">
        <f>E$14</f>
        <v>0</v>
      </c>
      <c r="BO2" s="23">
        <f>E$15</f>
        <v>0</v>
      </c>
      <c r="BP2" s="23">
        <f>E$16</f>
        <v>0</v>
      </c>
      <c r="BQ2" s="23">
        <f>E$17</f>
        <v>0</v>
      </c>
      <c r="BR2" s="23">
        <f>E$18</f>
        <v>200</v>
      </c>
      <c r="BS2" s="23">
        <f>E$19</f>
        <v>0</v>
      </c>
      <c r="BT2" s="23">
        <f>E$20</f>
        <v>200</v>
      </c>
      <c r="BU2" s="23">
        <f>E$21</f>
        <v>0</v>
      </c>
      <c r="BV2" s="23">
        <f>E$22</f>
        <v>0</v>
      </c>
      <c r="BW2" s="23">
        <f>E$23</f>
        <v>0</v>
      </c>
      <c r="BX2" s="23">
        <f>E$24</f>
        <v>0</v>
      </c>
      <c r="BY2" s="23">
        <f>E$25</f>
        <v>0</v>
      </c>
      <c r="BZ2" s="23">
        <f>E$26</f>
        <v>6</v>
      </c>
      <c r="CA2" s="23">
        <f>E$27</f>
        <v>6</v>
      </c>
      <c r="CB2" s="23">
        <f>E$29</f>
        <v>206</v>
      </c>
      <c r="CC2" s="23">
        <f>E$31</f>
        <v>2131</v>
      </c>
      <c r="CD2" s="23">
        <f>E$33</f>
        <v>0</v>
      </c>
      <c r="CE2" t="str">
        <f>D2</f>
        <v>Träda</v>
      </c>
    </row>
    <row r="3" spans="1:83" ht="12.75">
      <c r="A3" s="133"/>
      <c r="B3" s="145"/>
      <c r="C3" s="160"/>
      <c r="D3" s="137"/>
      <c r="E3" s="138"/>
      <c r="F3" s="163"/>
      <c r="G3" s="160"/>
      <c r="H3" s="137"/>
      <c r="I3" s="139"/>
      <c r="J3" s="166"/>
      <c r="K3" s="160"/>
      <c r="L3" s="137"/>
      <c r="M3" s="139"/>
      <c r="N3" s="166"/>
      <c r="O3" s="160"/>
      <c r="P3" s="137"/>
      <c r="Q3" s="139"/>
      <c r="R3" s="144"/>
      <c r="S3" s="145"/>
      <c r="T3" s="160"/>
      <c r="U3" s="137"/>
      <c r="V3" s="139"/>
      <c r="W3" s="169"/>
      <c r="X3" s="160"/>
      <c r="Y3" s="137"/>
      <c r="Z3" s="139"/>
      <c r="AA3" s="169"/>
      <c r="AB3" s="160"/>
      <c r="AC3" s="137"/>
      <c r="AD3" s="139"/>
      <c r="AE3" s="169"/>
      <c r="AF3" s="160"/>
      <c r="AG3" s="137"/>
      <c r="AH3" s="139"/>
      <c r="AI3" s="144"/>
      <c r="AJ3" s="175"/>
      <c r="AK3" s="160"/>
      <c r="AL3" s="137"/>
      <c r="AM3" s="139"/>
      <c r="AN3" s="137"/>
      <c r="AO3" s="160"/>
      <c r="AP3" s="137"/>
      <c r="AQ3" s="139"/>
      <c r="AR3" s="169"/>
      <c r="AS3" s="160"/>
      <c r="AT3" s="137"/>
      <c r="AU3" s="139"/>
      <c r="AV3" s="169"/>
      <c r="AW3" s="160"/>
      <c r="AX3" s="137"/>
      <c r="AY3" s="139"/>
      <c r="AZ3" s="160"/>
      <c r="BD3" t="str">
        <f>H2</f>
        <v>Höstvete</v>
      </c>
      <c r="BE3">
        <v>3</v>
      </c>
      <c r="BF3" s="23">
        <f>I$6</f>
        <v>6300</v>
      </c>
      <c r="BG3" s="23">
        <f>I$7</f>
        <v>2620</v>
      </c>
      <c r="BH3" s="23">
        <f>I$8</f>
        <v>0</v>
      </c>
      <c r="BI3" s="23">
        <f>I$9</f>
        <v>8920</v>
      </c>
      <c r="BJ3" s="23">
        <f>I$10</f>
        <v>0</v>
      </c>
      <c r="BK3" s="23">
        <f>I$11</f>
        <v>620</v>
      </c>
      <c r="BL3" s="23">
        <f>I$12</f>
        <v>606</v>
      </c>
      <c r="BM3" s="23">
        <f>I$13</f>
        <v>342.5</v>
      </c>
      <c r="BN3" s="23">
        <f>I$14</f>
        <v>270.2</v>
      </c>
      <c r="BO3" s="23">
        <f>I$15</f>
        <v>230</v>
      </c>
      <c r="BP3" s="23">
        <f>I$16</f>
        <v>18.48</v>
      </c>
      <c r="BQ3" s="23">
        <f>I$17</f>
        <v>100</v>
      </c>
      <c r="BR3" s="23">
        <f>I$18</f>
        <v>42.125</v>
      </c>
      <c r="BS3" s="23">
        <f>I$19</f>
        <v>0</v>
      </c>
      <c r="BT3" s="23">
        <f>I$20</f>
        <v>2229.305</v>
      </c>
      <c r="BU3" s="23">
        <f>I$21</f>
        <v>0</v>
      </c>
      <c r="BV3" s="23">
        <f>I$22</f>
        <v>438</v>
      </c>
      <c r="BW3" s="23">
        <f>I$23</f>
        <v>687</v>
      </c>
      <c r="BX3" s="23">
        <f>I$24</f>
        <v>158</v>
      </c>
      <c r="BY3" s="23">
        <f>I$25</f>
        <v>0</v>
      </c>
      <c r="BZ3" s="23">
        <f>I$26</f>
        <v>105.36914999999999</v>
      </c>
      <c r="CA3" s="23">
        <f>I$27</f>
        <v>1388.36915</v>
      </c>
      <c r="CB3" s="23">
        <f>I$29</f>
        <v>3617.67415</v>
      </c>
      <c r="CC3" s="23">
        <f>I$31</f>
        <v>5302.32585</v>
      </c>
      <c r="CD3" s="23">
        <f>I$33</f>
        <v>0</v>
      </c>
      <c r="CE3" t="str">
        <f>H2</f>
        <v>Höstvete</v>
      </c>
    </row>
    <row r="4" spans="1:83" ht="12.75">
      <c r="A4" s="133"/>
      <c r="B4" s="145"/>
      <c r="C4" s="160"/>
      <c r="D4" s="137"/>
      <c r="E4" s="138"/>
      <c r="F4" s="163"/>
      <c r="G4" s="160"/>
      <c r="H4" s="137"/>
      <c r="I4" s="139"/>
      <c r="J4" s="166"/>
      <c r="K4" s="160"/>
      <c r="L4" s="137"/>
      <c r="M4" s="139"/>
      <c r="N4" s="166"/>
      <c r="O4" s="160"/>
      <c r="P4" s="137"/>
      <c r="Q4" s="139"/>
      <c r="R4" s="144"/>
      <c r="S4" s="145"/>
      <c r="T4" s="160"/>
      <c r="U4" s="137"/>
      <c r="V4" s="139"/>
      <c r="W4" s="169"/>
      <c r="X4" s="160"/>
      <c r="Y4" s="137"/>
      <c r="Z4" s="139"/>
      <c r="AA4" s="169"/>
      <c r="AB4" s="160"/>
      <c r="AC4" s="137"/>
      <c r="AD4" s="139"/>
      <c r="AE4" s="169"/>
      <c r="AF4" s="160"/>
      <c r="AG4" s="137"/>
      <c r="AH4" s="139"/>
      <c r="AI4" s="144"/>
      <c r="AJ4" s="175"/>
      <c r="AK4" s="160"/>
      <c r="AL4" s="137"/>
      <c r="AM4" s="139"/>
      <c r="AN4" s="137"/>
      <c r="AO4" s="160"/>
      <c r="AP4" s="137"/>
      <c r="AQ4" s="139"/>
      <c r="AR4" s="169"/>
      <c r="AS4" s="160"/>
      <c r="AT4" s="137"/>
      <c r="AU4" s="139"/>
      <c r="AV4" s="169"/>
      <c r="AW4" s="160"/>
      <c r="AX4" s="137"/>
      <c r="AY4" s="139"/>
      <c r="AZ4" s="137"/>
      <c r="BD4" t="str">
        <f>L2</f>
        <v>Korn</v>
      </c>
      <c r="BE4">
        <v>4</v>
      </c>
      <c r="BF4" s="23">
        <f>M$6</f>
        <v>4680</v>
      </c>
      <c r="BG4" s="23">
        <f>M$7</f>
        <v>2620</v>
      </c>
      <c r="BH4" s="23">
        <f>M$8</f>
        <v>0</v>
      </c>
      <c r="BI4" s="23">
        <f>M$9</f>
        <v>7300</v>
      </c>
      <c r="BJ4" s="23">
        <f>M$10</f>
        <v>0</v>
      </c>
      <c r="BK4" s="23">
        <f>M$11</f>
        <v>558</v>
      </c>
      <c r="BL4" s="23">
        <f>M$12</f>
        <v>944</v>
      </c>
      <c r="BM4" s="23">
        <f>M$13</f>
        <v>0</v>
      </c>
      <c r="BN4" s="23">
        <f>M$14</f>
        <v>0</v>
      </c>
      <c r="BO4" s="23">
        <f>M$15</f>
        <v>80</v>
      </c>
      <c r="BP4" s="23">
        <f>M$16</f>
        <v>30.200000000000003</v>
      </c>
      <c r="BQ4" s="23">
        <f>M$17</f>
        <v>66.3</v>
      </c>
      <c r="BR4" s="23">
        <f>M$18</f>
        <v>42.125</v>
      </c>
      <c r="BS4" s="23">
        <f>M$19</f>
        <v>0</v>
      </c>
      <c r="BT4" s="23">
        <f>M$20</f>
        <v>1720.625</v>
      </c>
      <c r="BU4" s="23">
        <f>M$21</f>
        <v>0</v>
      </c>
      <c r="BV4" s="23">
        <f>M$22</f>
        <v>379.6</v>
      </c>
      <c r="BW4" s="23">
        <f>M$23</f>
        <v>595.4</v>
      </c>
      <c r="BX4" s="23">
        <f>M$24</f>
        <v>158</v>
      </c>
      <c r="BY4" s="23">
        <f>M$25</f>
        <v>0</v>
      </c>
      <c r="BZ4" s="23">
        <f>M$26</f>
        <v>85.60875</v>
      </c>
      <c r="CA4" s="23">
        <f>M$27</f>
        <v>1218.60875</v>
      </c>
      <c r="CB4" s="23">
        <f>M$29</f>
        <v>2939.2337500000003</v>
      </c>
      <c r="CC4" s="23">
        <f>M$31</f>
        <v>4360.76625</v>
      </c>
      <c r="CD4" s="23">
        <f>M$33</f>
        <v>0</v>
      </c>
      <c r="CE4" t="str">
        <f>L2</f>
        <v>Korn</v>
      </c>
    </row>
    <row r="5" spans="1:83" ht="12.75">
      <c r="A5" s="140" t="s">
        <v>294</v>
      </c>
      <c r="B5" s="141"/>
      <c r="C5" s="28" t="s">
        <v>216</v>
      </c>
      <c r="D5" s="28" t="s">
        <v>295</v>
      </c>
      <c r="E5" s="142" t="s">
        <v>296</v>
      </c>
      <c r="F5" s="164"/>
      <c r="G5" s="28" t="s">
        <v>216</v>
      </c>
      <c r="H5" s="28" t="s">
        <v>295</v>
      </c>
      <c r="I5" s="142" t="s">
        <v>296</v>
      </c>
      <c r="J5" s="164"/>
      <c r="K5" s="28" t="s">
        <v>216</v>
      </c>
      <c r="L5" s="28" t="s">
        <v>295</v>
      </c>
      <c r="M5" s="142" t="s">
        <v>296</v>
      </c>
      <c r="N5" s="164"/>
      <c r="O5" s="28" t="s">
        <v>216</v>
      </c>
      <c r="P5" s="28" t="s">
        <v>295</v>
      </c>
      <c r="Q5" s="142" t="s">
        <v>296</v>
      </c>
      <c r="R5" s="140" t="s">
        <v>294</v>
      </c>
      <c r="S5" s="146"/>
      <c r="T5" s="26" t="s">
        <v>216</v>
      </c>
      <c r="U5" s="26" t="s">
        <v>295</v>
      </c>
      <c r="V5" s="147" t="s">
        <v>296</v>
      </c>
      <c r="W5" s="171"/>
      <c r="X5" s="26" t="s">
        <v>216</v>
      </c>
      <c r="Y5" s="26" t="s">
        <v>295</v>
      </c>
      <c r="Z5" s="147" t="s">
        <v>296</v>
      </c>
      <c r="AA5" s="171"/>
      <c r="AB5" s="26" t="s">
        <v>216</v>
      </c>
      <c r="AC5" s="26" t="s">
        <v>295</v>
      </c>
      <c r="AD5" s="147" t="s">
        <v>296</v>
      </c>
      <c r="AE5" s="171"/>
      <c r="AF5" s="26" t="s">
        <v>216</v>
      </c>
      <c r="AG5" s="26" t="s">
        <v>295</v>
      </c>
      <c r="AH5" s="147" t="s">
        <v>296</v>
      </c>
      <c r="AI5" s="140" t="s">
        <v>294</v>
      </c>
      <c r="AJ5" s="176"/>
      <c r="AK5" s="26" t="s">
        <v>216</v>
      </c>
      <c r="AL5" s="26" t="s">
        <v>295</v>
      </c>
      <c r="AM5" s="147" t="s">
        <v>296</v>
      </c>
      <c r="AN5" s="168"/>
      <c r="AO5" s="26" t="s">
        <v>216</v>
      </c>
      <c r="AP5" s="26" t="s">
        <v>295</v>
      </c>
      <c r="AQ5" s="147" t="s">
        <v>296</v>
      </c>
      <c r="AR5" s="171"/>
      <c r="AS5" s="26" t="s">
        <v>216</v>
      </c>
      <c r="AT5" s="26" t="s">
        <v>295</v>
      </c>
      <c r="AU5" s="147" t="s">
        <v>296</v>
      </c>
      <c r="AV5" s="171"/>
      <c r="AW5" s="26" t="s">
        <v>216</v>
      </c>
      <c r="AX5" s="26" t="s">
        <v>295</v>
      </c>
      <c r="AY5" s="147" t="s">
        <v>296</v>
      </c>
      <c r="AZ5" s="26"/>
      <c r="BD5" t="str">
        <f>P2</f>
        <v>Havre</v>
      </c>
      <c r="BE5">
        <v>5</v>
      </c>
      <c r="BF5" s="23">
        <f>Q$6</f>
        <v>4004</v>
      </c>
      <c r="BG5" s="23">
        <f>Q$7</f>
        <v>2620</v>
      </c>
      <c r="BH5" s="23">
        <f>Q$8</f>
        <v>0</v>
      </c>
      <c r="BI5" s="23">
        <f>Q$9</f>
        <v>6624</v>
      </c>
      <c r="BJ5" s="23">
        <f>Q$10</f>
        <v>0</v>
      </c>
      <c r="BK5" s="23">
        <f>Q$11</f>
        <v>608</v>
      </c>
      <c r="BL5" s="23">
        <f>Q$12</f>
        <v>896.8</v>
      </c>
      <c r="BM5" s="23">
        <f>Q$13</f>
        <v>0</v>
      </c>
      <c r="BN5" s="23">
        <f>Q$14</f>
        <v>0</v>
      </c>
      <c r="BO5" s="23">
        <f>Q$15</f>
        <v>80</v>
      </c>
      <c r="BP5" s="23">
        <f>Q$16</f>
        <v>0</v>
      </c>
      <c r="BQ5" s="23">
        <f>Q$17</f>
        <v>0</v>
      </c>
      <c r="BR5" s="23">
        <f>Q$18</f>
        <v>42.125</v>
      </c>
      <c r="BS5" s="23">
        <f>Q$19</f>
        <v>0</v>
      </c>
      <c r="BT5" s="23">
        <f>Q$20</f>
        <v>1626.925</v>
      </c>
      <c r="BU5" s="23">
        <f>Q$21</f>
        <v>0</v>
      </c>
      <c r="BV5" s="23">
        <f>Q$22</f>
        <v>379.6</v>
      </c>
      <c r="BW5" s="23">
        <f>Q$23</f>
        <v>595.4</v>
      </c>
      <c r="BX5" s="23">
        <f>Q$24</f>
        <v>158</v>
      </c>
      <c r="BY5" s="23">
        <f>Q$25</f>
        <v>0</v>
      </c>
      <c r="BZ5" s="23">
        <f>Q$26</f>
        <v>82.79775000000001</v>
      </c>
      <c r="CA5" s="23">
        <f>Q$27</f>
        <v>1215.79775</v>
      </c>
      <c r="CB5" s="23">
        <f>Q$29</f>
        <v>2842.72275</v>
      </c>
      <c r="CC5" s="23">
        <f>Q$31</f>
        <v>3781.27725</v>
      </c>
      <c r="CD5" s="23">
        <f>Q$33</f>
        <v>0</v>
      </c>
      <c r="CE5" t="str">
        <f>P2</f>
        <v>Havre</v>
      </c>
    </row>
    <row r="6" spans="1:83" ht="12.75">
      <c r="A6" s="148" t="s">
        <v>297</v>
      </c>
      <c r="B6" s="149"/>
      <c r="C6" s="11"/>
      <c r="D6" s="11"/>
      <c r="E6" s="184">
        <f>C6*D6</f>
        <v>0</v>
      </c>
      <c r="F6" s="183"/>
      <c r="G6" s="11">
        <v>1.05</v>
      </c>
      <c r="H6" s="11">
        <v>6000</v>
      </c>
      <c r="I6" s="184">
        <f>G6*H6</f>
        <v>6300</v>
      </c>
      <c r="J6" s="167"/>
      <c r="K6" s="11">
        <v>0.9</v>
      </c>
      <c r="L6" s="11">
        <v>5200</v>
      </c>
      <c r="M6" s="184">
        <f>K6*L6</f>
        <v>4680</v>
      </c>
      <c r="N6" s="167"/>
      <c r="O6" s="11">
        <v>0.77</v>
      </c>
      <c r="P6" s="11">
        <v>5200</v>
      </c>
      <c r="Q6" s="184">
        <f>O6*P6</f>
        <v>4004</v>
      </c>
      <c r="R6" s="148" t="s">
        <v>297</v>
      </c>
      <c r="S6" s="167"/>
      <c r="T6" s="11">
        <v>1.11</v>
      </c>
      <c r="U6" s="11">
        <v>5200</v>
      </c>
      <c r="V6" s="184">
        <f>T6*U6</f>
        <v>5772.000000000001</v>
      </c>
      <c r="W6" s="187"/>
      <c r="X6" s="11">
        <v>2.3</v>
      </c>
      <c r="Y6" s="11">
        <v>2800</v>
      </c>
      <c r="Z6" s="184">
        <f>X6*Y6</f>
        <v>6439.999999999999</v>
      </c>
      <c r="AA6" s="187"/>
      <c r="AB6" s="11">
        <v>2.3</v>
      </c>
      <c r="AC6" s="11">
        <v>2000</v>
      </c>
      <c r="AD6" s="184">
        <f>AB6*AC6</f>
        <v>4600</v>
      </c>
      <c r="AE6" s="187"/>
      <c r="AF6" s="11">
        <v>1.1</v>
      </c>
      <c r="AG6" s="11">
        <v>4000</v>
      </c>
      <c r="AH6" s="184">
        <f>AF6*AG6</f>
        <v>4400</v>
      </c>
      <c r="AI6" s="148" t="s">
        <v>297</v>
      </c>
      <c r="AJ6" s="167"/>
      <c r="AK6" s="11">
        <v>2</v>
      </c>
      <c r="AL6" s="11">
        <v>1900</v>
      </c>
      <c r="AM6" s="184">
        <f>AK6*AL6</f>
        <v>3800</v>
      </c>
      <c r="AN6" s="40"/>
      <c r="AO6" s="11"/>
      <c r="AP6" s="11"/>
      <c r="AQ6" s="184">
        <f>AO6*AP6</f>
        <v>0</v>
      </c>
      <c r="AR6" s="187"/>
      <c r="AS6" s="11"/>
      <c r="AT6" s="11"/>
      <c r="AU6" s="184">
        <f>AS6*AT6</f>
        <v>0</v>
      </c>
      <c r="AV6" s="187"/>
      <c r="AW6" s="11"/>
      <c r="AX6" s="11"/>
      <c r="AY6" s="184">
        <f>AW6*AX6</f>
        <v>0</v>
      </c>
      <c r="AZ6" s="1"/>
      <c r="BD6" t="str">
        <f>U2</f>
        <v>Vårvete</v>
      </c>
      <c r="BE6">
        <v>6</v>
      </c>
      <c r="BF6" s="23">
        <f>V$6</f>
        <v>5772.000000000001</v>
      </c>
      <c r="BG6" s="23">
        <f>V$7</f>
        <v>2620</v>
      </c>
      <c r="BH6" s="23">
        <f>V$8</f>
        <v>0</v>
      </c>
      <c r="BI6" s="23">
        <f>V$9</f>
        <v>8392</v>
      </c>
      <c r="BJ6" s="23">
        <f>V$10</f>
        <v>0</v>
      </c>
      <c r="BK6" s="23">
        <f>V$11</f>
        <v>742.5</v>
      </c>
      <c r="BL6" s="23">
        <f>V$12</f>
        <v>896.8</v>
      </c>
      <c r="BM6" s="23">
        <f>V$13</f>
        <v>260.3</v>
      </c>
      <c r="BN6" s="23">
        <f>V$14</f>
        <v>0</v>
      </c>
      <c r="BO6" s="23">
        <f>V$15</f>
        <v>108</v>
      </c>
      <c r="BP6" s="23">
        <f>V$16</f>
        <v>0</v>
      </c>
      <c r="BQ6" s="23">
        <f>V$17</f>
        <v>0</v>
      </c>
      <c r="BR6" s="23">
        <f>V$18</f>
        <v>95</v>
      </c>
      <c r="BS6" s="23">
        <f>V$19</f>
        <v>0</v>
      </c>
      <c r="BT6" s="23">
        <f>V$20</f>
        <v>2102.6</v>
      </c>
      <c r="BU6" s="23">
        <f>V$21</f>
        <v>0</v>
      </c>
      <c r="BV6" s="23">
        <f>V$22</f>
        <v>379.6</v>
      </c>
      <c r="BW6" s="23">
        <f>V$23</f>
        <v>595.4</v>
      </c>
      <c r="BX6" s="23">
        <f>V$24</f>
        <v>0</v>
      </c>
      <c r="BY6" s="23">
        <f>V$25</f>
        <v>0</v>
      </c>
      <c r="BZ6" s="23">
        <f>V$26</f>
        <v>92.32799999999999</v>
      </c>
      <c r="CA6" s="23">
        <f>V$27</f>
        <v>1067.328</v>
      </c>
      <c r="CB6" s="23">
        <f>V$29</f>
        <v>3169.928</v>
      </c>
      <c r="CC6" s="23">
        <f>V$31</f>
        <v>5222.072</v>
      </c>
      <c r="CD6" s="23">
        <f>V$33</f>
        <v>0</v>
      </c>
      <c r="CE6" t="str">
        <f>U2</f>
        <v>Vårvete</v>
      </c>
    </row>
    <row r="7" spans="1:83" ht="12.75">
      <c r="A7" s="148" t="s">
        <v>298</v>
      </c>
      <c r="B7" s="149"/>
      <c r="C7" s="11">
        <v>2337</v>
      </c>
      <c r="D7" s="11">
        <v>1</v>
      </c>
      <c r="E7" s="184">
        <f>C7*D7</f>
        <v>2337</v>
      </c>
      <c r="F7" s="183"/>
      <c r="G7" s="11">
        <v>2620</v>
      </c>
      <c r="H7" s="11">
        <v>1</v>
      </c>
      <c r="I7" s="184">
        <f>G7*H7</f>
        <v>2620</v>
      </c>
      <c r="J7" s="167"/>
      <c r="K7" s="11">
        <v>2620</v>
      </c>
      <c r="L7" s="11">
        <v>1</v>
      </c>
      <c r="M7" s="184">
        <f>K7*L7</f>
        <v>2620</v>
      </c>
      <c r="N7" s="167"/>
      <c r="O7" s="11">
        <v>2620</v>
      </c>
      <c r="P7" s="11">
        <v>1</v>
      </c>
      <c r="Q7" s="184">
        <f>O7*P7</f>
        <v>2620</v>
      </c>
      <c r="R7" s="148" t="s">
        <v>298</v>
      </c>
      <c r="S7" s="167"/>
      <c r="T7" s="11">
        <v>2620</v>
      </c>
      <c r="U7" s="11">
        <v>1</v>
      </c>
      <c r="V7" s="184">
        <f>T7*U7</f>
        <v>2620</v>
      </c>
      <c r="W7" s="187"/>
      <c r="X7" s="11">
        <v>2620</v>
      </c>
      <c r="Y7" s="11">
        <v>1</v>
      </c>
      <c r="Z7" s="184">
        <f>X7*Y7</f>
        <v>2620</v>
      </c>
      <c r="AA7" s="187"/>
      <c r="AB7" s="11">
        <v>2620</v>
      </c>
      <c r="AC7" s="11">
        <v>1</v>
      </c>
      <c r="AD7" s="184">
        <f>AB7*AC7</f>
        <v>2620</v>
      </c>
      <c r="AE7" s="187"/>
      <c r="AF7" s="11">
        <v>2620</v>
      </c>
      <c r="AG7" s="11">
        <v>1</v>
      </c>
      <c r="AH7" s="184">
        <f>AF7*AG7</f>
        <v>2620</v>
      </c>
      <c r="AI7" s="148" t="s">
        <v>298</v>
      </c>
      <c r="AJ7" s="167"/>
      <c r="AK7" s="11">
        <v>2620</v>
      </c>
      <c r="AL7" s="11">
        <v>1</v>
      </c>
      <c r="AM7" s="184">
        <f>AK7*AL7</f>
        <v>2620</v>
      </c>
      <c r="AN7" s="40"/>
      <c r="AO7" s="11"/>
      <c r="AP7" s="11"/>
      <c r="AQ7" s="184">
        <f>AO7*AP7</f>
        <v>0</v>
      </c>
      <c r="AR7" s="187"/>
      <c r="AS7" s="11"/>
      <c r="AT7" s="11"/>
      <c r="AU7" s="184">
        <f>AS7*AT7</f>
        <v>0</v>
      </c>
      <c r="AV7" s="187"/>
      <c r="AW7" s="11"/>
      <c r="AX7" s="11"/>
      <c r="AY7" s="184">
        <f>AW7*AX7</f>
        <v>0</v>
      </c>
      <c r="AZ7" s="1"/>
      <c r="BD7" t="str">
        <f>Y2</f>
        <v>Höstoljeväxter</v>
      </c>
      <c r="BE7">
        <v>7</v>
      </c>
      <c r="BF7" s="23">
        <f>Z$6</f>
        <v>6439.999999999999</v>
      </c>
      <c r="BG7" s="23">
        <f>Z$7</f>
        <v>2620</v>
      </c>
      <c r="BH7" s="23">
        <f>Z$8</f>
        <v>0</v>
      </c>
      <c r="BI7" s="23">
        <f>Z$9</f>
        <v>9060</v>
      </c>
      <c r="BJ7" s="23">
        <f>Z$10</f>
        <v>0</v>
      </c>
      <c r="BK7" s="23">
        <f>Z$11</f>
        <v>730</v>
      </c>
      <c r="BL7" s="23">
        <f>Z$12</f>
        <v>747.4</v>
      </c>
      <c r="BM7" s="23">
        <f>Z$13</f>
        <v>377</v>
      </c>
      <c r="BN7" s="23">
        <f>Z$14</f>
        <v>250.9</v>
      </c>
      <c r="BO7" s="23">
        <f>Z$15</f>
        <v>375</v>
      </c>
      <c r="BP7" s="23">
        <f>Z$16</f>
        <v>99</v>
      </c>
      <c r="BQ7" s="23">
        <f>Z$17</f>
        <v>0</v>
      </c>
      <c r="BR7" s="23">
        <f>Z$18</f>
        <v>95</v>
      </c>
      <c r="BS7" s="23">
        <f>Z$19</f>
        <v>0</v>
      </c>
      <c r="BT7" s="23">
        <f>Z$20</f>
        <v>2674.3</v>
      </c>
      <c r="BU7" s="23">
        <f>Z$21</f>
        <v>0</v>
      </c>
      <c r="BV7" s="23">
        <f>Z$22</f>
        <v>204.39999999999998</v>
      </c>
      <c r="BW7" s="23">
        <f>Z$23</f>
        <v>320.59999999999997</v>
      </c>
      <c r="BX7" s="23">
        <f>Z$24</f>
        <v>239</v>
      </c>
      <c r="BY7" s="23">
        <f>Z$25</f>
        <v>0</v>
      </c>
      <c r="BZ7" s="23">
        <f>Z$26</f>
        <v>103.149</v>
      </c>
      <c r="CA7" s="23">
        <f>Z$27</f>
        <v>867.149</v>
      </c>
      <c r="CB7" s="23">
        <f>Z$29</f>
        <v>3541.449</v>
      </c>
      <c r="CC7" s="23">
        <f>Z$31</f>
        <v>5518.5509999999995</v>
      </c>
      <c r="CD7" s="23">
        <f>Z$33</f>
        <v>0</v>
      </c>
      <c r="CE7" t="str">
        <f>Y2</f>
        <v>Höstoljeväxter</v>
      </c>
    </row>
    <row r="8" spans="1:83" ht="12.75">
      <c r="A8" s="148" t="s">
        <v>321</v>
      </c>
      <c r="B8" s="149"/>
      <c r="C8" s="11"/>
      <c r="D8" s="11"/>
      <c r="E8" s="184">
        <f>C8*D8</f>
        <v>0</v>
      </c>
      <c r="F8" s="183"/>
      <c r="G8" s="11"/>
      <c r="H8" s="11"/>
      <c r="I8" s="184">
        <f>G8*H8</f>
        <v>0</v>
      </c>
      <c r="J8" s="167"/>
      <c r="K8" s="11"/>
      <c r="L8" s="11"/>
      <c r="M8" s="184">
        <f>K8*L8</f>
        <v>0</v>
      </c>
      <c r="N8" s="167"/>
      <c r="O8" s="11"/>
      <c r="P8" s="11"/>
      <c r="Q8" s="184">
        <f>O8*P8</f>
        <v>0</v>
      </c>
      <c r="R8" s="148" t="s">
        <v>321</v>
      </c>
      <c r="S8" s="167"/>
      <c r="T8" s="11"/>
      <c r="U8" s="11"/>
      <c r="V8" s="184">
        <f>T8*U8</f>
        <v>0</v>
      </c>
      <c r="W8" s="187"/>
      <c r="X8" s="11"/>
      <c r="Y8" s="11"/>
      <c r="Z8" s="184">
        <f>X8*Y8</f>
        <v>0</v>
      </c>
      <c r="AA8" s="187"/>
      <c r="AB8" s="11"/>
      <c r="AC8" s="11"/>
      <c r="AD8" s="184">
        <f>AB8*AC8</f>
        <v>0</v>
      </c>
      <c r="AE8" s="187"/>
      <c r="AF8" s="11"/>
      <c r="AG8" s="11"/>
      <c r="AH8" s="184">
        <f>AF8*AG8</f>
        <v>0</v>
      </c>
      <c r="AI8" s="148" t="s">
        <v>321</v>
      </c>
      <c r="AJ8" s="167"/>
      <c r="AK8" s="11"/>
      <c r="AL8" s="11"/>
      <c r="AM8" s="184">
        <f>AK8*AL8</f>
        <v>0</v>
      </c>
      <c r="AN8" s="40"/>
      <c r="AO8" s="11"/>
      <c r="AP8" s="11"/>
      <c r="AQ8" s="184">
        <f>AO8*AP8</f>
        <v>0</v>
      </c>
      <c r="AR8" s="187"/>
      <c r="AS8" s="11"/>
      <c r="AT8" s="11"/>
      <c r="AU8" s="184">
        <f>AS8*AT8</f>
        <v>0</v>
      </c>
      <c r="AV8" s="187"/>
      <c r="AW8" s="11"/>
      <c r="AX8" s="11"/>
      <c r="AY8" s="184">
        <f>AW8*AX8</f>
        <v>0</v>
      </c>
      <c r="AZ8" s="1"/>
      <c r="BD8" t="str">
        <f>AC2</f>
        <v>Våroljeväxter</v>
      </c>
      <c r="BE8">
        <v>8</v>
      </c>
      <c r="BF8" s="23">
        <f>AD$6</f>
        <v>4600</v>
      </c>
      <c r="BG8" s="23">
        <f>AD$7</f>
        <v>2620</v>
      </c>
      <c r="BH8" s="23">
        <f>AD$8</f>
        <v>0</v>
      </c>
      <c r="BI8" s="23">
        <f>AD$9</f>
        <v>7220</v>
      </c>
      <c r="BJ8" s="23">
        <f>AD$10</f>
        <v>0</v>
      </c>
      <c r="BK8" s="23">
        <f>AD$11</f>
        <v>400</v>
      </c>
      <c r="BL8" s="23">
        <f>AD$12</f>
        <v>991.1999999999999</v>
      </c>
      <c r="BM8" s="23">
        <f>AD$13</f>
        <v>0</v>
      </c>
      <c r="BN8" s="23">
        <f>AD$14</f>
        <v>0</v>
      </c>
      <c r="BO8" s="23">
        <f>AD$15</f>
        <v>41.6</v>
      </c>
      <c r="BP8" s="23">
        <f>AD$16</f>
        <v>195.20000000000002</v>
      </c>
      <c r="BQ8" s="23">
        <f>AD$17</f>
        <v>0</v>
      </c>
      <c r="BR8" s="23">
        <f>AD$18</f>
        <v>95</v>
      </c>
      <c r="BS8" s="23">
        <f>AD$19</f>
        <v>0</v>
      </c>
      <c r="BT8" s="23">
        <f>AD$20</f>
        <v>1722.9999999999998</v>
      </c>
      <c r="BU8" s="23">
        <f>AD$21</f>
        <v>0</v>
      </c>
      <c r="BV8" s="23">
        <f>AD$22</f>
        <v>146</v>
      </c>
      <c r="BW8" s="23">
        <f>AD$23</f>
        <v>229</v>
      </c>
      <c r="BX8" s="23">
        <f>AD$24</f>
        <v>214</v>
      </c>
      <c r="BY8" s="23">
        <f>AD$25</f>
        <v>0</v>
      </c>
      <c r="BZ8" s="23">
        <f>AD$26</f>
        <v>69.36</v>
      </c>
      <c r="CA8" s="23">
        <f>AD$27</f>
        <v>658.36</v>
      </c>
      <c r="CB8" s="23">
        <f>AD$29</f>
        <v>2381.3599999999997</v>
      </c>
      <c r="CC8" s="23">
        <f>AD$31</f>
        <v>4838.64</v>
      </c>
      <c r="CD8" s="23">
        <f>AD$33</f>
        <v>0</v>
      </c>
      <c r="CE8" t="str">
        <f>AC2</f>
        <v>Våroljeväxter</v>
      </c>
    </row>
    <row r="9" spans="1:83" ht="12.75">
      <c r="A9" s="150" t="s">
        <v>273</v>
      </c>
      <c r="B9" s="149"/>
      <c r="C9" s="11"/>
      <c r="D9" s="11"/>
      <c r="E9" s="184">
        <f>SUM(E6:E8)</f>
        <v>2337</v>
      </c>
      <c r="F9" s="183"/>
      <c r="G9" s="11"/>
      <c r="H9" s="11"/>
      <c r="I9" s="184">
        <f>SUM(I6:I8)</f>
        <v>8920</v>
      </c>
      <c r="J9" s="167"/>
      <c r="K9" s="11"/>
      <c r="L9" s="11"/>
      <c r="M9" s="184">
        <f>SUM(M6:M8)</f>
        <v>7300</v>
      </c>
      <c r="N9" s="167"/>
      <c r="O9" s="11"/>
      <c r="P9" s="11"/>
      <c r="Q9" s="184">
        <f>SUM(Q6:Q8)</f>
        <v>6624</v>
      </c>
      <c r="R9" s="150" t="s">
        <v>273</v>
      </c>
      <c r="S9" s="167"/>
      <c r="T9" s="11"/>
      <c r="U9" s="11"/>
      <c r="V9" s="184">
        <f>SUM(V6:V8)</f>
        <v>8392</v>
      </c>
      <c r="W9" s="187"/>
      <c r="X9" s="11"/>
      <c r="Y9" s="11"/>
      <c r="Z9" s="184">
        <f>SUM(Z6:Z8)</f>
        <v>9060</v>
      </c>
      <c r="AA9" s="187"/>
      <c r="AB9" s="11"/>
      <c r="AC9" s="11"/>
      <c r="AD9" s="184">
        <f>SUM(AD6:AD8)</f>
        <v>7220</v>
      </c>
      <c r="AE9" s="187"/>
      <c r="AF9" s="11"/>
      <c r="AG9" s="11"/>
      <c r="AH9" s="184">
        <f>SUM(AH6:AH8)</f>
        <v>7020</v>
      </c>
      <c r="AI9" s="150" t="s">
        <v>273</v>
      </c>
      <c r="AJ9" s="167"/>
      <c r="AK9" s="11"/>
      <c r="AL9" s="11"/>
      <c r="AM9" s="184">
        <f>SUM(AM6:AM8)</f>
        <v>6420</v>
      </c>
      <c r="AN9" s="40"/>
      <c r="AO9" s="11"/>
      <c r="AP9" s="11"/>
      <c r="AQ9" s="184">
        <f>SUM(AQ6:AQ8)</f>
        <v>0</v>
      </c>
      <c r="AR9" s="187"/>
      <c r="AS9" s="11"/>
      <c r="AT9" s="11"/>
      <c r="AU9" s="184">
        <f>SUM(AU6:AU8)</f>
        <v>0</v>
      </c>
      <c r="AV9" s="187"/>
      <c r="AW9" s="11"/>
      <c r="AX9" s="11"/>
      <c r="AY9" s="184">
        <f>SUM(AY6:AY8)</f>
        <v>0</v>
      </c>
      <c r="AZ9" s="1"/>
      <c r="BD9" t="str">
        <f>AG2</f>
        <v>Ärter</v>
      </c>
      <c r="BE9">
        <v>9</v>
      </c>
      <c r="BF9" s="23">
        <f>AH$6</f>
        <v>4400</v>
      </c>
      <c r="BG9" s="23">
        <f>AH$7</f>
        <v>2620</v>
      </c>
      <c r="BH9" s="23">
        <f>AH$8</f>
        <v>0</v>
      </c>
      <c r="BI9" s="23">
        <f>AH$9</f>
        <v>7020</v>
      </c>
      <c r="BJ9" s="23">
        <f>AH$10</f>
        <v>0</v>
      </c>
      <c r="BK9" s="23">
        <f>AH$11</f>
        <v>875</v>
      </c>
      <c r="BL9" s="23">
        <f>AH$12</f>
        <v>308.8</v>
      </c>
      <c r="BM9" s="23">
        <f>AH$13</f>
        <v>0</v>
      </c>
      <c r="BN9" s="23">
        <f>AH$14</f>
        <v>0</v>
      </c>
      <c r="BO9" s="23">
        <f>AH$15</f>
        <v>490</v>
      </c>
      <c r="BP9" s="23">
        <f>AH$16</f>
        <v>28</v>
      </c>
      <c r="BQ9" s="23">
        <f>AH$17</f>
        <v>0</v>
      </c>
      <c r="BR9" s="23">
        <f>AH$18</f>
        <v>95</v>
      </c>
      <c r="BS9" s="23">
        <f>AH$19</f>
        <v>0</v>
      </c>
      <c r="BT9" s="23">
        <f>AH$20</f>
        <v>1796.8</v>
      </c>
      <c r="BU9" s="23">
        <f>AH$21</f>
        <v>0</v>
      </c>
      <c r="BV9" s="23">
        <f>AH$22</f>
        <v>292</v>
      </c>
      <c r="BW9" s="23">
        <f>AH$23</f>
        <v>458</v>
      </c>
      <c r="BX9" s="23">
        <f>AH$24</f>
        <v>158</v>
      </c>
      <c r="BY9" s="23">
        <f>AH$25</f>
        <v>0</v>
      </c>
      <c r="BZ9" s="23">
        <f>AH$26</f>
        <v>81.144</v>
      </c>
      <c r="CA9" s="23">
        <f>AH$27</f>
        <v>989.144</v>
      </c>
      <c r="CB9" s="23">
        <f>AH$29</f>
        <v>2785.944</v>
      </c>
      <c r="CC9" s="23">
        <f>AH$31</f>
        <v>4234.0560000000005</v>
      </c>
      <c r="CD9" s="23">
        <f>AH$33</f>
        <v>0</v>
      </c>
      <c r="CE9" t="str">
        <f>AG2</f>
        <v>Ärter</v>
      </c>
    </row>
    <row r="10" spans="1:83" ht="12.75">
      <c r="A10" s="151" t="s">
        <v>299</v>
      </c>
      <c r="B10" s="149"/>
      <c r="C10" s="11"/>
      <c r="D10" s="11"/>
      <c r="E10" s="184">
        <f>B10*D10</f>
        <v>0</v>
      </c>
      <c r="F10" s="183"/>
      <c r="G10" s="11"/>
      <c r="H10" s="11"/>
      <c r="I10" s="184"/>
      <c r="J10" s="167"/>
      <c r="K10" s="11"/>
      <c r="L10" s="11"/>
      <c r="M10" s="184"/>
      <c r="N10" s="167"/>
      <c r="O10" s="11"/>
      <c r="P10" s="11"/>
      <c r="Q10" s="184"/>
      <c r="R10" s="151" t="s">
        <v>299</v>
      </c>
      <c r="S10" s="167"/>
      <c r="T10" s="11"/>
      <c r="U10" s="11"/>
      <c r="V10" s="184"/>
      <c r="W10" s="187"/>
      <c r="X10" s="11"/>
      <c r="Y10" s="11"/>
      <c r="Z10" s="184"/>
      <c r="AA10" s="187"/>
      <c r="AB10" s="11"/>
      <c r="AC10" s="11"/>
      <c r="AD10" s="184"/>
      <c r="AE10" s="187"/>
      <c r="AF10" s="11"/>
      <c r="AG10" s="11"/>
      <c r="AH10" s="184"/>
      <c r="AI10" s="151" t="s">
        <v>299</v>
      </c>
      <c r="AJ10" s="167"/>
      <c r="AK10" s="11"/>
      <c r="AL10" s="11"/>
      <c r="AM10" s="184"/>
      <c r="AN10" s="40"/>
      <c r="AO10" s="11"/>
      <c r="AP10" s="11"/>
      <c r="AQ10" s="184"/>
      <c r="AR10" s="187"/>
      <c r="AS10" s="11"/>
      <c r="AT10" s="11"/>
      <c r="AU10" s="184"/>
      <c r="AV10" s="187"/>
      <c r="AW10" s="11"/>
      <c r="AX10" s="11"/>
      <c r="AY10" s="184"/>
      <c r="AZ10" s="1"/>
      <c r="BD10" t="str">
        <f>AL2</f>
        <v>Lin</v>
      </c>
      <c r="BE10">
        <v>10</v>
      </c>
      <c r="BF10" s="23">
        <f>AM$6</f>
        <v>3800</v>
      </c>
      <c r="BG10" s="23">
        <f>AM$7</f>
        <v>2620</v>
      </c>
      <c r="BH10" s="23">
        <f>AM$8</f>
        <v>0</v>
      </c>
      <c r="BI10" s="23">
        <f>AM$9</f>
        <v>6420</v>
      </c>
      <c r="BJ10" s="23">
        <f>AM$10</f>
        <v>0</v>
      </c>
      <c r="BK10" s="23">
        <f>AM$11</f>
        <v>357.5</v>
      </c>
      <c r="BL10" s="23">
        <f>AM$12</f>
        <v>561.6</v>
      </c>
      <c r="BM10" s="23">
        <f>AM$13</f>
        <v>212.29999999999998</v>
      </c>
      <c r="BN10" s="23">
        <f>AM$14</f>
        <v>0</v>
      </c>
      <c r="BO10" s="23">
        <f>AM$15</f>
        <v>148</v>
      </c>
      <c r="BP10" s="23">
        <f>AM$16</f>
        <v>0</v>
      </c>
      <c r="BQ10" s="23">
        <f>AM$17</f>
        <v>0</v>
      </c>
      <c r="BR10" s="23">
        <f>AM$18</f>
        <v>95</v>
      </c>
      <c r="BS10" s="23">
        <f>AM$19</f>
        <v>137.2</v>
      </c>
      <c r="BT10" s="23">
        <f>AM$20</f>
        <v>1511.6000000000001</v>
      </c>
      <c r="BU10" s="23">
        <f>AM$21</f>
        <v>0</v>
      </c>
      <c r="BV10" s="23">
        <f>AM$22</f>
        <v>138.7</v>
      </c>
      <c r="BW10" s="23">
        <f>AM$23</f>
        <v>217.54999999999998</v>
      </c>
      <c r="BX10" s="23">
        <f>AM$24</f>
        <v>181</v>
      </c>
      <c r="BY10" s="23">
        <f>AM$25</f>
        <v>0</v>
      </c>
      <c r="BZ10" s="23">
        <f>AM$26</f>
        <v>61.465500000000006</v>
      </c>
      <c r="CA10" s="23">
        <f>AM$27</f>
        <v>598.7155</v>
      </c>
      <c r="CB10" s="23">
        <f>AM$29</f>
        <v>2110.3155</v>
      </c>
      <c r="CC10" s="23">
        <f>AM$31</f>
        <v>4309.684499999999</v>
      </c>
      <c r="CD10" s="23">
        <f>AM$33</f>
        <v>0</v>
      </c>
      <c r="CE10" t="str">
        <f>AL2</f>
        <v>Lin</v>
      </c>
    </row>
    <row r="11" spans="1:83" ht="12.75">
      <c r="A11" s="148" t="s">
        <v>300</v>
      </c>
      <c r="B11" s="149"/>
      <c r="C11" s="11"/>
      <c r="D11" s="11"/>
      <c r="E11" s="184">
        <f aca="true" t="shared" si="0" ref="E11:E19">C11*D11</f>
        <v>0</v>
      </c>
      <c r="F11" s="39"/>
      <c r="G11" s="11">
        <v>3.1</v>
      </c>
      <c r="H11" s="11">
        <v>200</v>
      </c>
      <c r="I11" s="184">
        <f aca="true" t="shared" si="1" ref="I11:I18">G11*H11</f>
        <v>620</v>
      </c>
      <c r="J11" s="167"/>
      <c r="K11" s="11">
        <v>3.1</v>
      </c>
      <c r="L11" s="11">
        <v>180</v>
      </c>
      <c r="M11" s="184">
        <f aca="true" t="shared" si="2" ref="M11:M18">K11*L11</f>
        <v>558</v>
      </c>
      <c r="N11" s="167"/>
      <c r="O11" s="11">
        <v>3.2</v>
      </c>
      <c r="P11" s="11">
        <v>190</v>
      </c>
      <c r="Q11" s="184">
        <f aca="true" t="shared" si="3" ref="Q11:Q16">O11*P11</f>
        <v>608</v>
      </c>
      <c r="R11" s="148" t="s">
        <v>300</v>
      </c>
      <c r="S11" s="167"/>
      <c r="T11" s="11">
        <v>3.3</v>
      </c>
      <c r="U11" s="11">
        <v>225</v>
      </c>
      <c r="V11" s="184">
        <f aca="true" t="shared" si="4" ref="V11:V19">T11*U11</f>
        <v>742.5</v>
      </c>
      <c r="W11" s="187"/>
      <c r="X11" s="11">
        <v>1460</v>
      </c>
      <c r="Y11" s="11">
        <v>0.5</v>
      </c>
      <c r="Z11" s="184">
        <f aca="true" t="shared" si="5" ref="Z11:Z16">X11*Y11</f>
        <v>730</v>
      </c>
      <c r="AA11" s="187"/>
      <c r="AB11" s="11">
        <v>8</v>
      </c>
      <c r="AC11" s="11">
        <v>50</v>
      </c>
      <c r="AD11" s="184">
        <f aca="true" t="shared" si="6" ref="AD11:AD16">AB11*AC11</f>
        <v>400</v>
      </c>
      <c r="AE11" s="187"/>
      <c r="AF11" s="11">
        <v>3.5</v>
      </c>
      <c r="AG11" s="11">
        <v>250</v>
      </c>
      <c r="AH11" s="184">
        <f aca="true" t="shared" si="7" ref="AH11:AH16">AF11*AG11</f>
        <v>875</v>
      </c>
      <c r="AI11" s="148" t="s">
        <v>300</v>
      </c>
      <c r="AJ11" s="167"/>
      <c r="AK11" s="11">
        <v>6.5</v>
      </c>
      <c r="AL11" s="11">
        <v>55</v>
      </c>
      <c r="AM11" s="184">
        <f aca="true" t="shared" si="8" ref="AM11:AM19">AK11*AL11</f>
        <v>357.5</v>
      </c>
      <c r="AN11" s="40"/>
      <c r="AO11" s="11"/>
      <c r="AP11" s="11"/>
      <c r="AQ11" s="184">
        <f aca="true" t="shared" si="9" ref="AQ11:AQ16">AO11*AP11</f>
        <v>0</v>
      </c>
      <c r="AR11" s="187"/>
      <c r="AS11" s="11"/>
      <c r="AT11" s="11"/>
      <c r="AU11" s="184">
        <f aca="true" t="shared" si="10" ref="AU11:AU16">AS11*AT11</f>
        <v>0</v>
      </c>
      <c r="AV11" s="187"/>
      <c r="AW11" s="11"/>
      <c r="AX11" s="11"/>
      <c r="AY11" s="184">
        <f aca="true" t="shared" si="11" ref="AY11:AY16">AW11*AX11</f>
        <v>0</v>
      </c>
      <c r="AZ11" s="1"/>
      <c r="BD11" t="str">
        <f>AP2</f>
        <v>Egen</v>
      </c>
      <c r="BE11">
        <v>11</v>
      </c>
      <c r="BF11" s="23">
        <f>AQ$6</f>
        <v>0</v>
      </c>
      <c r="BG11" s="23">
        <f>AQ$7</f>
        <v>0</v>
      </c>
      <c r="BH11" s="23">
        <f>AQ$8</f>
        <v>0</v>
      </c>
      <c r="BI11" s="23">
        <f>AQ$9</f>
        <v>0</v>
      </c>
      <c r="BJ11" s="23">
        <f>AQ$10</f>
        <v>0</v>
      </c>
      <c r="BK11" s="23">
        <f>AQ$11</f>
        <v>0</v>
      </c>
      <c r="BL11" s="23">
        <f>AQ$12</f>
        <v>0</v>
      </c>
      <c r="BM11" s="23">
        <f>AQ$13</f>
        <v>0</v>
      </c>
      <c r="BN11" s="23">
        <f>AQ$14</f>
        <v>0</v>
      </c>
      <c r="BO11" s="23">
        <f>AQ$15</f>
        <v>0</v>
      </c>
      <c r="BP11" s="23">
        <f>AQ$16</f>
        <v>0</v>
      </c>
      <c r="BQ11" s="23">
        <f>AQ$17</f>
        <v>0</v>
      </c>
      <c r="BR11" s="23">
        <f>AQ$18</f>
        <v>0</v>
      </c>
      <c r="BS11" s="23">
        <f>AQ$19</f>
        <v>0</v>
      </c>
      <c r="BT11" s="23">
        <f>AQ$20</f>
        <v>0</v>
      </c>
      <c r="BU11" s="23">
        <f>AQ$21</f>
        <v>0</v>
      </c>
      <c r="BV11" s="23">
        <f>AQ$22</f>
        <v>0</v>
      </c>
      <c r="BW11" s="23">
        <f>AQ$23</f>
        <v>0</v>
      </c>
      <c r="BX11" s="23">
        <f>AQ$24</f>
        <v>0</v>
      </c>
      <c r="BY11" s="23">
        <f>AQ$25</f>
        <v>0</v>
      </c>
      <c r="BZ11" s="23">
        <f>AQ$26</f>
        <v>0</v>
      </c>
      <c r="CA11" s="23">
        <f>AQ$27</f>
        <v>0</v>
      </c>
      <c r="CB11" s="23">
        <f>AQ$29</f>
        <v>0</v>
      </c>
      <c r="CC11" s="23">
        <f>AQ$31</f>
        <v>0</v>
      </c>
      <c r="CD11" s="23">
        <f>AQ$33</f>
        <v>0</v>
      </c>
      <c r="CE11" t="str">
        <f>AP2</f>
        <v>Egen</v>
      </c>
    </row>
    <row r="12" spans="1:83" ht="12.75">
      <c r="A12" s="148" t="s">
        <v>319</v>
      </c>
      <c r="B12" s="149"/>
      <c r="C12" s="11"/>
      <c r="D12" s="11"/>
      <c r="E12" s="184">
        <f t="shared" si="0"/>
        <v>0</v>
      </c>
      <c r="F12" s="183" t="s">
        <v>340</v>
      </c>
      <c r="G12" s="11">
        <v>2.02</v>
      </c>
      <c r="H12" s="11">
        <v>300</v>
      </c>
      <c r="I12" s="184">
        <f t="shared" si="1"/>
        <v>606</v>
      </c>
      <c r="J12" s="167" t="s">
        <v>344</v>
      </c>
      <c r="K12" s="11">
        <v>2.36</v>
      </c>
      <c r="L12" s="11">
        <v>400</v>
      </c>
      <c r="M12" s="184">
        <f t="shared" si="2"/>
        <v>944</v>
      </c>
      <c r="N12" s="167" t="s">
        <v>344</v>
      </c>
      <c r="O12" s="11">
        <v>2.36</v>
      </c>
      <c r="P12" s="11">
        <v>380</v>
      </c>
      <c r="Q12" s="184">
        <f t="shared" si="3"/>
        <v>896.8</v>
      </c>
      <c r="R12" s="148" t="s">
        <v>319</v>
      </c>
      <c r="S12" s="167" t="s">
        <v>344</v>
      </c>
      <c r="T12" s="11">
        <v>2.36</v>
      </c>
      <c r="U12" s="11">
        <v>380</v>
      </c>
      <c r="V12" s="184">
        <f t="shared" si="4"/>
        <v>896.8</v>
      </c>
      <c r="W12" s="187" t="s">
        <v>340</v>
      </c>
      <c r="X12" s="11">
        <v>2.02</v>
      </c>
      <c r="Y12" s="11">
        <v>370</v>
      </c>
      <c r="Z12" s="184">
        <f t="shared" si="5"/>
        <v>747.4</v>
      </c>
      <c r="AA12" s="187" t="s">
        <v>344</v>
      </c>
      <c r="AB12" s="11">
        <v>2.36</v>
      </c>
      <c r="AC12" s="11">
        <v>420</v>
      </c>
      <c r="AD12" s="184">
        <f t="shared" si="6"/>
        <v>991.1999999999999</v>
      </c>
      <c r="AE12" s="187" t="s">
        <v>342</v>
      </c>
      <c r="AF12" s="11">
        <v>1.93</v>
      </c>
      <c r="AG12" s="11">
        <v>160</v>
      </c>
      <c r="AH12" s="184">
        <f t="shared" si="7"/>
        <v>308.8</v>
      </c>
      <c r="AI12" s="148" t="s">
        <v>319</v>
      </c>
      <c r="AJ12" s="167" t="s">
        <v>347</v>
      </c>
      <c r="AK12" s="11">
        <v>2.16</v>
      </c>
      <c r="AL12" s="11">
        <v>260</v>
      </c>
      <c r="AM12" s="184">
        <f t="shared" si="8"/>
        <v>561.6</v>
      </c>
      <c r="AN12" s="40"/>
      <c r="AO12" s="11"/>
      <c r="AP12" s="11"/>
      <c r="AQ12" s="184">
        <f t="shared" si="9"/>
        <v>0</v>
      </c>
      <c r="AR12" s="187"/>
      <c r="AS12" s="11"/>
      <c r="AT12" s="11"/>
      <c r="AU12" s="184">
        <f t="shared" si="10"/>
        <v>0</v>
      </c>
      <c r="AV12" s="187"/>
      <c r="AW12" s="11"/>
      <c r="AX12" s="11"/>
      <c r="AY12" s="184">
        <f t="shared" si="11"/>
        <v>0</v>
      </c>
      <c r="AZ12" s="1"/>
      <c r="BD12" t="str">
        <f>AT2</f>
        <v>Egen</v>
      </c>
      <c r="BE12">
        <v>12</v>
      </c>
      <c r="BF12" s="23">
        <f>AU$6</f>
        <v>0</v>
      </c>
      <c r="BG12" s="23">
        <f>AU$7</f>
        <v>0</v>
      </c>
      <c r="BH12" s="23">
        <f>AU$8</f>
        <v>0</v>
      </c>
      <c r="BI12" s="23">
        <f>AU$9</f>
        <v>0</v>
      </c>
      <c r="BJ12" s="23">
        <f>AU$10</f>
        <v>0</v>
      </c>
      <c r="BK12" s="23">
        <f>AU$11</f>
        <v>0</v>
      </c>
      <c r="BL12" s="23">
        <f>AU$12</f>
        <v>0</v>
      </c>
      <c r="BM12" s="23">
        <f>AU$13</f>
        <v>0</v>
      </c>
      <c r="BN12" s="23">
        <f>AU$14</f>
        <v>0</v>
      </c>
      <c r="BO12" s="23">
        <f>AU$15</f>
        <v>0</v>
      </c>
      <c r="BP12" s="23">
        <f>AU$16</f>
        <v>0</v>
      </c>
      <c r="BQ12" s="23">
        <f>AU$17</f>
        <v>0</v>
      </c>
      <c r="BR12" s="23">
        <f>AU$18</f>
        <v>0</v>
      </c>
      <c r="BS12" s="23">
        <f>AU$19</f>
        <v>0</v>
      </c>
      <c r="BT12" s="23">
        <f>AU$20</f>
        <v>0</v>
      </c>
      <c r="BU12" s="23">
        <f>AU$21</f>
        <v>0</v>
      </c>
      <c r="BV12" s="23">
        <f>AU$22</f>
        <v>0</v>
      </c>
      <c r="BW12" s="23">
        <f>AU$23</f>
        <v>0</v>
      </c>
      <c r="BX12" s="23">
        <f>AU$24</f>
        <v>0</v>
      </c>
      <c r="BY12" s="23">
        <f>AU$25</f>
        <v>0</v>
      </c>
      <c r="BZ12" s="23">
        <f>AU$26</f>
        <v>0</v>
      </c>
      <c r="CA12" s="23">
        <f>AU$27</f>
        <v>0</v>
      </c>
      <c r="CB12" s="23">
        <f>AU$29</f>
        <v>0</v>
      </c>
      <c r="CC12" s="23">
        <f>AU$31</f>
        <v>0</v>
      </c>
      <c r="CD12" s="23">
        <f>AU$33</f>
        <v>0</v>
      </c>
      <c r="CE12" t="str">
        <f>AT2</f>
        <v>Egen</v>
      </c>
    </row>
    <row r="13" spans="1:83" ht="12.75">
      <c r="A13" s="148" t="s">
        <v>319</v>
      </c>
      <c r="B13" s="149"/>
      <c r="C13" s="11"/>
      <c r="D13" s="11"/>
      <c r="E13" s="184">
        <f t="shared" si="0"/>
        <v>0</v>
      </c>
      <c r="F13" s="183" t="s">
        <v>341</v>
      </c>
      <c r="G13" s="11">
        <v>1.37</v>
      </c>
      <c r="H13" s="11">
        <v>250</v>
      </c>
      <c r="I13" s="184">
        <f t="shared" si="1"/>
        <v>342.5</v>
      </c>
      <c r="J13" s="167"/>
      <c r="K13" s="11"/>
      <c r="L13" s="11"/>
      <c r="M13" s="184">
        <f t="shared" si="2"/>
        <v>0</v>
      </c>
      <c r="N13" s="167"/>
      <c r="O13" s="11"/>
      <c r="P13" s="11"/>
      <c r="Q13" s="184">
        <f t="shared" si="3"/>
        <v>0</v>
      </c>
      <c r="R13" s="148" t="s">
        <v>319</v>
      </c>
      <c r="S13" s="167" t="s">
        <v>341</v>
      </c>
      <c r="T13" s="11">
        <v>1.37</v>
      </c>
      <c r="U13" s="11">
        <v>190</v>
      </c>
      <c r="V13" s="184">
        <f t="shared" si="4"/>
        <v>260.3</v>
      </c>
      <c r="W13" s="187" t="s">
        <v>341</v>
      </c>
      <c r="X13" s="11">
        <v>1.45</v>
      </c>
      <c r="Y13" s="11">
        <v>260</v>
      </c>
      <c r="Z13" s="184">
        <f t="shared" si="5"/>
        <v>377</v>
      </c>
      <c r="AA13" s="187"/>
      <c r="AB13" s="11"/>
      <c r="AC13" s="11"/>
      <c r="AD13" s="184">
        <f t="shared" si="6"/>
        <v>0</v>
      </c>
      <c r="AE13" s="187"/>
      <c r="AF13" s="11"/>
      <c r="AG13" s="11"/>
      <c r="AH13" s="184">
        <f t="shared" si="7"/>
        <v>0</v>
      </c>
      <c r="AI13" s="148" t="s">
        <v>319</v>
      </c>
      <c r="AJ13" s="167" t="s">
        <v>343</v>
      </c>
      <c r="AK13" s="11">
        <v>1.93</v>
      </c>
      <c r="AL13" s="11">
        <v>110</v>
      </c>
      <c r="AM13" s="184">
        <f t="shared" si="8"/>
        <v>212.29999999999998</v>
      </c>
      <c r="AN13" s="40"/>
      <c r="AO13" s="11"/>
      <c r="AP13" s="11"/>
      <c r="AQ13" s="184">
        <f t="shared" si="9"/>
        <v>0</v>
      </c>
      <c r="AR13" s="187"/>
      <c r="AS13" s="11"/>
      <c r="AT13" s="11"/>
      <c r="AU13" s="184">
        <f t="shared" si="10"/>
        <v>0</v>
      </c>
      <c r="AV13" s="187"/>
      <c r="AW13" s="11"/>
      <c r="AX13" s="11"/>
      <c r="AY13" s="184">
        <f t="shared" si="11"/>
        <v>0</v>
      </c>
      <c r="AZ13" s="1"/>
      <c r="BD13" t="str">
        <f>AX2</f>
        <v>Egen</v>
      </c>
      <c r="BE13">
        <v>13</v>
      </c>
      <c r="BF13" s="23">
        <f>AY$6</f>
        <v>0</v>
      </c>
      <c r="BG13" s="23">
        <f>AY$7</f>
        <v>0</v>
      </c>
      <c r="BH13" s="23">
        <f>AY$8</f>
        <v>0</v>
      </c>
      <c r="BI13" s="23">
        <f>AY$9</f>
        <v>0</v>
      </c>
      <c r="BJ13" s="23">
        <f>AY$10</f>
        <v>0</v>
      </c>
      <c r="BK13" s="23">
        <f>AY$11</f>
        <v>0</v>
      </c>
      <c r="BL13" s="23">
        <f>AY$12</f>
        <v>0</v>
      </c>
      <c r="BM13" s="23">
        <f>AY$13</f>
        <v>0</v>
      </c>
      <c r="BN13" s="23">
        <f>AY$14</f>
        <v>0</v>
      </c>
      <c r="BO13" s="23">
        <f>AY$15</f>
        <v>0</v>
      </c>
      <c r="BP13" s="23">
        <f>AY$16</f>
        <v>0</v>
      </c>
      <c r="BQ13" s="23">
        <f>AY$17</f>
        <v>0</v>
      </c>
      <c r="BR13" s="23">
        <f>AY$18</f>
        <v>0</v>
      </c>
      <c r="BS13" s="23">
        <f>AY$19</f>
        <v>0</v>
      </c>
      <c r="BT13" s="23">
        <f>AY$20</f>
        <v>0</v>
      </c>
      <c r="BU13" s="23">
        <f>AY$21</f>
        <v>0</v>
      </c>
      <c r="BV13" s="23">
        <f>AY$22</f>
        <v>0</v>
      </c>
      <c r="BW13" s="23">
        <f>AY$23</f>
        <v>0</v>
      </c>
      <c r="BX13" s="23">
        <f>AY$24</f>
        <v>0</v>
      </c>
      <c r="BY13" s="23">
        <f>AY$25</f>
        <v>0</v>
      </c>
      <c r="BZ13" s="23">
        <f>AY$26</f>
        <v>0</v>
      </c>
      <c r="CA13" s="23">
        <f>AY$27</f>
        <v>0</v>
      </c>
      <c r="CB13" s="23">
        <f>AY$29</f>
        <v>0</v>
      </c>
      <c r="CC13" s="23">
        <f>AY$31</f>
        <v>0</v>
      </c>
      <c r="CD13" s="23">
        <f>AY$33</f>
        <v>0</v>
      </c>
      <c r="CE13" t="str">
        <f>AX2</f>
        <v>Egen</v>
      </c>
    </row>
    <row r="14" spans="1:52" ht="12.75">
      <c r="A14" s="148" t="s">
        <v>319</v>
      </c>
      <c r="B14" s="149"/>
      <c r="C14" s="11"/>
      <c r="D14" s="11"/>
      <c r="E14" s="184">
        <f t="shared" si="0"/>
        <v>0</v>
      </c>
      <c r="F14" s="183" t="s">
        <v>342</v>
      </c>
      <c r="G14" s="11">
        <v>1.93</v>
      </c>
      <c r="H14" s="11">
        <v>140</v>
      </c>
      <c r="I14" s="184">
        <f t="shared" si="1"/>
        <v>270.2</v>
      </c>
      <c r="J14" s="167"/>
      <c r="K14" s="11"/>
      <c r="L14" s="11"/>
      <c r="M14" s="184">
        <f t="shared" si="2"/>
        <v>0</v>
      </c>
      <c r="N14" s="167"/>
      <c r="O14" s="11"/>
      <c r="P14" s="11"/>
      <c r="Q14" s="184">
        <f t="shared" si="3"/>
        <v>0</v>
      </c>
      <c r="R14" s="148" t="s">
        <v>319</v>
      </c>
      <c r="S14" s="167"/>
      <c r="T14" s="11"/>
      <c r="U14" s="11"/>
      <c r="V14" s="184">
        <f t="shared" si="4"/>
        <v>0</v>
      </c>
      <c r="W14" s="187" t="s">
        <v>345</v>
      </c>
      <c r="X14" s="11">
        <v>1.93</v>
      </c>
      <c r="Y14" s="11">
        <v>130</v>
      </c>
      <c r="Z14" s="184">
        <f t="shared" si="5"/>
        <v>250.9</v>
      </c>
      <c r="AA14" s="187"/>
      <c r="AB14" s="11"/>
      <c r="AC14" s="11"/>
      <c r="AD14" s="184">
        <f t="shared" si="6"/>
        <v>0</v>
      </c>
      <c r="AE14" s="187"/>
      <c r="AF14" s="11"/>
      <c r="AG14" s="11"/>
      <c r="AH14" s="184">
        <f t="shared" si="7"/>
        <v>0</v>
      </c>
      <c r="AI14" s="148" t="s">
        <v>319</v>
      </c>
      <c r="AJ14" s="167"/>
      <c r="AK14" s="11"/>
      <c r="AL14" s="11"/>
      <c r="AM14" s="184">
        <f t="shared" si="8"/>
        <v>0</v>
      </c>
      <c r="AN14" s="40"/>
      <c r="AO14" s="11"/>
      <c r="AP14" s="11"/>
      <c r="AQ14" s="184">
        <f t="shared" si="9"/>
        <v>0</v>
      </c>
      <c r="AR14" s="187"/>
      <c r="AS14" s="11"/>
      <c r="AT14" s="11"/>
      <c r="AU14" s="184">
        <f t="shared" si="10"/>
        <v>0</v>
      </c>
      <c r="AV14" s="187"/>
      <c r="AW14" s="11"/>
      <c r="AX14" s="11"/>
      <c r="AY14" s="184">
        <f t="shared" si="11"/>
        <v>0</v>
      </c>
      <c r="AZ14" s="1"/>
    </row>
    <row r="15" spans="1:52" ht="12.75">
      <c r="A15" s="148" t="s">
        <v>301</v>
      </c>
      <c r="B15" s="149"/>
      <c r="C15" s="11"/>
      <c r="D15" s="11"/>
      <c r="E15" s="184">
        <f t="shared" si="0"/>
        <v>0</v>
      </c>
      <c r="F15" s="183"/>
      <c r="G15" s="11">
        <v>230</v>
      </c>
      <c r="H15" s="11">
        <v>1</v>
      </c>
      <c r="I15" s="184">
        <f t="shared" si="1"/>
        <v>230</v>
      </c>
      <c r="J15" s="167"/>
      <c r="K15" s="11">
        <v>80</v>
      </c>
      <c r="L15" s="11">
        <v>1</v>
      </c>
      <c r="M15" s="184">
        <f t="shared" si="2"/>
        <v>80</v>
      </c>
      <c r="N15" s="167"/>
      <c r="O15" s="11">
        <v>80</v>
      </c>
      <c r="P15" s="11">
        <v>1</v>
      </c>
      <c r="Q15" s="184">
        <f t="shared" si="3"/>
        <v>80</v>
      </c>
      <c r="R15" s="148" t="s">
        <v>301</v>
      </c>
      <c r="S15" s="167"/>
      <c r="T15" s="11">
        <v>108</v>
      </c>
      <c r="U15" s="11">
        <v>1</v>
      </c>
      <c r="V15" s="184">
        <f t="shared" si="4"/>
        <v>108</v>
      </c>
      <c r="W15" s="187"/>
      <c r="X15" s="11">
        <v>750</v>
      </c>
      <c r="Y15" s="11">
        <v>0.5</v>
      </c>
      <c r="Z15" s="184">
        <f t="shared" si="5"/>
        <v>375</v>
      </c>
      <c r="AA15" s="187"/>
      <c r="AB15" s="11">
        <v>208</v>
      </c>
      <c r="AC15" s="11">
        <v>0.2</v>
      </c>
      <c r="AD15" s="184">
        <f t="shared" si="6"/>
        <v>41.6</v>
      </c>
      <c r="AE15" s="187"/>
      <c r="AF15" s="11">
        <v>490</v>
      </c>
      <c r="AG15" s="11">
        <v>1</v>
      </c>
      <c r="AH15" s="184">
        <f t="shared" si="7"/>
        <v>490</v>
      </c>
      <c r="AI15" s="148" t="s">
        <v>301</v>
      </c>
      <c r="AJ15" s="167"/>
      <c r="AK15" s="11">
        <v>148</v>
      </c>
      <c r="AL15" s="11">
        <v>1</v>
      </c>
      <c r="AM15" s="184">
        <f t="shared" si="8"/>
        <v>148</v>
      </c>
      <c r="AN15" s="40"/>
      <c r="AO15" s="11"/>
      <c r="AP15" s="11"/>
      <c r="AQ15" s="184">
        <f t="shared" si="9"/>
        <v>0</v>
      </c>
      <c r="AR15" s="187"/>
      <c r="AS15" s="11"/>
      <c r="AT15" s="11"/>
      <c r="AU15" s="184">
        <f t="shared" si="10"/>
        <v>0</v>
      </c>
      <c r="AV15" s="187"/>
      <c r="AW15" s="11"/>
      <c r="AX15" s="11"/>
      <c r="AY15" s="184">
        <f t="shared" si="11"/>
        <v>0</v>
      </c>
      <c r="AZ15" s="1"/>
    </row>
    <row r="16" spans="1:52" ht="12.75">
      <c r="A16" s="148" t="s">
        <v>302</v>
      </c>
      <c r="B16" s="149"/>
      <c r="C16" s="11"/>
      <c r="D16" s="11"/>
      <c r="E16" s="184">
        <f t="shared" si="0"/>
        <v>0</v>
      </c>
      <c r="F16" s="183"/>
      <c r="G16" s="11">
        <v>56</v>
      </c>
      <c r="H16" s="11">
        <v>0.33</v>
      </c>
      <c r="I16" s="184">
        <f t="shared" si="1"/>
        <v>18.48</v>
      </c>
      <c r="J16" s="167"/>
      <c r="K16" s="11">
        <v>151</v>
      </c>
      <c r="L16" s="11">
        <v>0.2</v>
      </c>
      <c r="M16" s="184">
        <f t="shared" si="2"/>
        <v>30.200000000000003</v>
      </c>
      <c r="N16" s="167"/>
      <c r="O16" s="11"/>
      <c r="P16" s="11"/>
      <c r="Q16" s="184">
        <f t="shared" si="3"/>
        <v>0</v>
      </c>
      <c r="R16" s="148" t="s">
        <v>302</v>
      </c>
      <c r="S16" s="167"/>
      <c r="T16" s="11"/>
      <c r="U16" s="11"/>
      <c r="V16" s="184">
        <f t="shared" si="4"/>
        <v>0</v>
      </c>
      <c r="W16" s="187"/>
      <c r="X16" s="11">
        <v>198</v>
      </c>
      <c r="Y16" s="11">
        <v>0.5</v>
      </c>
      <c r="Z16" s="184">
        <f t="shared" si="5"/>
        <v>99</v>
      </c>
      <c r="AA16" s="187"/>
      <c r="AB16" s="11">
        <v>244</v>
      </c>
      <c r="AC16" s="11">
        <v>0.8</v>
      </c>
      <c r="AD16" s="184">
        <f t="shared" si="6"/>
        <v>195.20000000000002</v>
      </c>
      <c r="AE16" s="187"/>
      <c r="AF16" s="11">
        <v>56</v>
      </c>
      <c r="AG16" s="11">
        <v>0.5</v>
      </c>
      <c r="AH16" s="184">
        <f t="shared" si="7"/>
        <v>28</v>
      </c>
      <c r="AI16" s="148" t="s">
        <v>302</v>
      </c>
      <c r="AJ16" s="167"/>
      <c r="AK16" s="11"/>
      <c r="AL16" s="11"/>
      <c r="AM16" s="184">
        <f t="shared" si="8"/>
        <v>0</v>
      </c>
      <c r="AN16" s="40"/>
      <c r="AO16" s="11"/>
      <c r="AP16" s="11"/>
      <c r="AQ16" s="184">
        <f t="shared" si="9"/>
        <v>0</v>
      </c>
      <c r="AR16" s="187"/>
      <c r="AS16" s="11"/>
      <c r="AT16" s="11"/>
      <c r="AU16" s="184">
        <f t="shared" si="10"/>
        <v>0</v>
      </c>
      <c r="AV16" s="187"/>
      <c r="AW16" s="11"/>
      <c r="AX16" s="11"/>
      <c r="AY16" s="184">
        <f t="shared" si="11"/>
        <v>0</v>
      </c>
      <c r="AZ16" s="1"/>
    </row>
    <row r="17" spans="1:52" ht="12.75">
      <c r="A17" s="148" t="s">
        <v>303</v>
      </c>
      <c r="B17" s="149"/>
      <c r="C17" s="11"/>
      <c r="D17" s="11"/>
      <c r="E17" s="184">
        <f t="shared" si="0"/>
        <v>0</v>
      </c>
      <c r="F17" s="183"/>
      <c r="G17" s="11">
        <v>200</v>
      </c>
      <c r="H17" s="11">
        <v>0.5</v>
      </c>
      <c r="I17" s="184">
        <f t="shared" si="1"/>
        <v>100</v>
      </c>
      <c r="J17" s="167"/>
      <c r="K17" s="11">
        <v>221</v>
      </c>
      <c r="L17" s="11">
        <v>0.3</v>
      </c>
      <c r="M17" s="184">
        <f t="shared" si="2"/>
        <v>66.3</v>
      </c>
      <c r="N17" s="167"/>
      <c r="O17" s="11"/>
      <c r="P17" s="11"/>
      <c r="Q17" s="184"/>
      <c r="R17" s="148" t="s">
        <v>303</v>
      </c>
      <c r="S17" s="167"/>
      <c r="T17" s="11"/>
      <c r="U17" s="11"/>
      <c r="V17" s="184">
        <f t="shared" si="4"/>
        <v>0</v>
      </c>
      <c r="W17" s="187"/>
      <c r="X17" s="11"/>
      <c r="Y17" s="11"/>
      <c r="Z17" s="184"/>
      <c r="AA17" s="187"/>
      <c r="AB17" s="11"/>
      <c r="AC17" s="11"/>
      <c r="AD17" s="184"/>
      <c r="AE17" s="187"/>
      <c r="AF17" s="11"/>
      <c r="AG17" s="11"/>
      <c r="AH17" s="184"/>
      <c r="AI17" s="148" t="s">
        <v>303</v>
      </c>
      <c r="AJ17" s="167"/>
      <c r="AK17" s="11"/>
      <c r="AL17" s="11"/>
      <c r="AM17" s="184">
        <f t="shared" si="8"/>
        <v>0</v>
      </c>
      <c r="AN17" s="40"/>
      <c r="AO17" s="11"/>
      <c r="AP17" s="11"/>
      <c r="AQ17" s="184"/>
      <c r="AR17" s="187"/>
      <c r="AS17" s="11"/>
      <c r="AT17" s="11"/>
      <c r="AU17" s="184"/>
      <c r="AV17" s="187"/>
      <c r="AW17" s="11"/>
      <c r="AX17" s="11"/>
      <c r="AY17" s="184"/>
      <c r="AZ17" s="1"/>
    </row>
    <row r="18" spans="1:52" ht="12.75">
      <c r="A18" s="148" t="s">
        <v>338</v>
      </c>
      <c r="B18" s="149"/>
      <c r="C18" s="11">
        <v>50</v>
      </c>
      <c r="D18" s="11">
        <v>4</v>
      </c>
      <c r="E18" s="184">
        <f t="shared" si="0"/>
        <v>200</v>
      </c>
      <c r="F18" s="183"/>
      <c r="G18" s="11">
        <v>168.5</v>
      </c>
      <c r="H18" s="11">
        <v>0.25</v>
      </c>
      <c r="I18" s="184">
        <f t="shared" si="1"/>
        <v>42.125</v>
      </c>
      <c r="J18" s="167"/>
      <c r="K18" s="11">
        <v>168.5</v>
      </c>
      <c r="L18" s="11">
        <v>0.25</v>
      </c>
      <c r="M18" s="184">
        <f t="shared" si="2"/>
        <v>42.125</v>
      </c>
      <c r="N18" s="167"/>
      <c r="O18" s="11">
        <v>168.5</v>
      </c>
      <c r="P18" s="11">
        <v>0.25</v>
      </c>
      <c r="Q18" s="184">
        <f>O18*P18</f>
        <v>42.125</v>
      </c>
      <c r="R18" s="148" t="s">
        <v>338</v>
      </c>
      <c r="S18" s="167"/>
      <c r="T18" s="11">
        <v>475</v>
      </c>
      <c r="U18" s="11">
        <v>0.2</v>
      </c>
      <c r="V18" s="184">
        <f t="shared" si="4"/>
        <v>95</v>
      </c>
      <c r="W18" s="187"/>
      <c r="X18" s="11">
        <v>475</v>
      </c>
      <c r="Y18" s="11">
        <v>0.2</v>
      </c>
      <c r="Z18" s="184">
        <f>X18*Y18</f>
        <v>95</v>
      </c>
      <c r="AA18" s="187"/>
      <c r="AB18" s="11">
        <v>475</v>
      </c>
      <c r="AC18" s="11">
        <v>0.2</v>
      </c>
      <c r="AD18" s="184">
        <f>AB18*AC18</f>
        <v>95</v>
      </c>
      <c r="AE18" s="187"/>
      <c r="AF18" s="11">
        <v>475</v>
      </c>
      <c r="AG18" s="11">
        <v>0.2</v>
      </c>
      <c r="AH18" s="184">
        <f>AF18*AG18</f>
        <v>95</v>
      </c>
      <c r="AI18" s="148" t="s">
        <v>338</v>
      </c>
      <c r="AJ18" s="167"/>
      <c r="AK18" s="11">
        <v>475</v>
      </c>
      <c r="AL18" s="11">
        <v>0.2</v>
      </c>
      <c r="AM18" s="184">
        <f t="shared" si="8"/>
        <v>95</v>
      </c>
      <c r="AN18" s="40"/>
      <c r="AO18" s="11"/>
      <c r="AP18" s="11"/>
      <c r="AQ18" s="184">
        <f>AO18*AP18</f>
        <v>0</v>
      </c>
      <c r="AR18" s="187"/>
      <c r="AS18" s="11"/>
      <c r="AT18" s="11"/>
      <c r="AU18" s="184">
        <f>AS18*AT18</f>
        <v>0</v>
      </c>
      <c r="AV18" s="187"/>
      <c r="AW18" s="11"/>
      <c r="AX18" s="11"/>
      <c r="AY18" s="184">
        <f>AW18*AX18</f>
        <v>0</v>
      </c>
      <c r="AZ18" s="1"/>
    </row>
    <row r="19" spans="1:52" ht="12.75">
      <c r="A19" s="148" t="s">
        <v>304</v>
      </c>
      <c r="B19" s="149"/>
      <c r="C19" s="11"/>
      <c r="D19" s="11"/>
      <c r="E19" s="184">
        <f t="shared" si="0"/>
        <v>0</v>
      </c>
      <c r="F19" s="183"/>
      <c r="G19" s="11"/>
      <c r="H19" s="11"/>
      <c r="I19" s="184">
        <f>$B19*H19</f>
        <v>0</v>
      </c>
      <c r="J19" s="167"/>
      <c r="K19" s="11"/>
      <c r="L19" s="11"/>
      <c r="M19" s="184">
        <f>$B19*L19</f>
        <v>0</v>
      </c>
      <c r="N19" s="167"/>
      <c r="O19" s="11"/>
      <c r="P19" s="11"/>
      <c r="Q19" s="184">
        <f>$B19*P19</f>
        <v>0</v>
      </c>
      <c r="R19" s="148" t="s">
        <v>304</v>
      </c>
      <c r="S19" s="167"/>
      <c r="T19" s="11"/>
      <c r="U19" s="11"/>
      <c r="V19" s="184">
        <f t="shared" si="4"/>
        <v>0</v>
      </c>
      <c r="W19" s="187"/>
      <c r="X19" s="11"/>
      <c r="Y19" s="11"/>
      <c r="Z19" s="184">
        <f>$B19*Y19</f>
        <v>0</v>
      </c>
      <c r="AA19" s="187"/>
      <c r="AB19" s="11"/>
      <c r="AC19" s="11"/>
      <c r="AD19" s="184">
        <f>$B19*AC19</f>
        <v>0</v>
      </c>
      <c r="AE19" s="187"/>
      <c r="AF19" s="11"/>
      <c r="AG19" s="11"/>
      <c r="AH19" s="184">
        <f>$B19*AG19</f>
        <v>0</v>
      </c>
      <c r="AI19" s="148" t="s">
        <v>304</v>
      </c>
      <c r="AJ19" s="167" t="s">
        <v>346</v>
      </c>
      <c r="AK19" s="11">
        <v>196</v>
      </c>
      <c r="AL19" s="11">
        <v>0.7</v>
      </c>
      <c r="AM19" s="184">
        <f t="shared" si="8"/>
        <v>137.2</v>
      </c>
      <c r="AN19" s="40"/>
      <c r="AO19" s="11"/>
      <c r="AP19" s="11"/>
      <c r="AQ19" s="184">
        <f>$B19*AP19</f>
        <v>0</v>
      </c>
      <c r="AR19" s="187"/>
      <c r="AS19" s="11"/>
      <c r="AT19" s="11"/>
      <c r="AU19" s="184">
        <f>$B19*AT19</f>
        <v>0</v>
      </c>
      <c r="AV19" s="187"/>
      <c r="AW19" s="11"/>
      <c r="AX19" s="11"/>
      <c r="AY19" s="184">
        <f>$B19*AX19</f>
        <v>0</v>
      </c>
      <c r="AZ19" s="1"/>
    </row>
    <row r="20" spans="1:52" ht="12.75">
      <c r="A20" s="150" t="s">
        <v>305</v>
      </c>
      <c r="B20" s="149"/>
      <c r="C20" s="11"/>
      <c r="D20" s="11"/>
      <c r="E20" s="184">
        <f>SUM(E11:E19)</f>
        <v>200</v>
      </c>
      <c r="F20" s="183"/>
      <c r="G20" s="11"/>
      <c r="H20" s="11"/>
      <c r="I20" s="184">
        <f>SUM(I11:I19)</f>
        <v>2229.305</v>
      </c>
      <c r="J20" s="167"/>
      <c r="K20" s="11"/>
      <c r="L20" s="11"/>
      <c r="M20" s="184">
        <f>SUM(M11:M19)</f>
        <v>1720.625</v>
      </c>
      <c r="N20" s="167"/>
      <c r="O20" s="11"/>
      <c r="P20" s="11"/>
      <c r="Q20" s="184">
        <f>SUM(Q11:Q19)</f>
        <v>1626.925</v>
      </c>
      <c r="R20" s="150" t="s">
        <v>305</v>
      </c>
      <c r="S20" s="167"/>
      <c r="T20" s="11"/>
      <c r="U20" s="11"/>
      <c r="V20" s="184">
        <f>SUM(V11:V19)</f>
        <v>2102.6</v>
      </c>
      <c r="W20" s="187"/>
      <c r="X20" s="11"/>
      <c r="Y20" s="11"/>
      <c r="Z20" s="184">
        <f>SUM(Z11:Z19)</f>
        <v>2674.3</v>
      </c>
      <c r="AA20" s="187"/>
      <c r="AB20" s="11"/>
      <c r="AC20" s="11"/>
      <c r="AD20" s="184">
        <f>SUM(AD11:AD19)</f>
        <v>1722.9999999999998</v>
      </c>
      <c r="AE20" s="187"/>
      <c r="AF20" s="11"/>
      <c r="AG20" s="11"/>
      <c r="AH20" s="184">
        <f>SUM(AH11:AH19)</f>
        <v>1796.8</v>
      </c>
      <c r="AI20" s="150" t="s">
        <v>305</v>
      </c>
      <c r="AJ20" s="167"/>
      <c r="AK20" s="11"/>
      <c r="AL20" s="11"/>
      <c r="AM20" s="184">
        <f>SUM(AM11:AM19)</f>
        <v>1511.6000000000001</v>
      </c>
      <c r="AN20" s="40"/>
      <c r="AO20" s="11"/>
      <c r="AP20" s="11"/>
      <c r="AQ20" s="184">
        <f>SUM(AQ11:AQ19)</f>
        <v>0</v>
      </c>
      <c r="AR20" s="187"/>
      <c r="AS20" s="11"/>
      <c r="AT20" s="11"/>
      <c r="AU20" s="184">
        <f>SUM(AU11:AU19)</f>
        <v>0</v>
      </c>
      <c r="AV20" s="187"/>
      <c r="AW20" s="11"/>
      <c r="AX20" s="11"/>
      <c r="AY20" s="184">
        <f>SUM(AY11:AY19)</f>
        <v>0</v>
      </c>
      <c r="AZ20" s="1"/>
    </row>
    <row r="21" spans="1:52" ht="12.75">
      <c r="A21" s="151" t="s">
        <v>306</v>
      </c>
      <c r="B21" s="149"/>
      <c r="C21" s="11"/>
      <c r="D21" s="11"/>
      <c r="E21" s="184"/>
      <c r="F21" s="183"/>
      <c r="G21" s="11"/>
      <c r="H21" s="11"/>
      <c r="I21" s="184"/>
      <c r="J21" s="167"/>
      <c r="K21" s="11"/>
      <c r="L21" s="11"/>
      <c r="M21" s="184"/>
      <c r="N21" s="167"/>
      <c r="O21" s="11"/>
      <c r="P21" s="11"/>
      <c r="Q21" s="184"/>
      <c r="R21" s="151" t="s">
        <v>306</v>
      </c>
      <c r="S21" s="167"/>
      <c r="T21" s="11"/>
      <c r="U21" s="11"/>
      <c r="V21" s="184"/>
      <c r="W21" s="187"/>
      <c r="X21" s="11"/>
      <c r="Y21" s="11"/>
      <c r="Z21" s="184"/>
      <c r="AA21" s="187"/>
      <c r="AB21" s="11"/>
      <c r="AC21" s="11"/>
      <c r="AD21" s="184"/>
      <c r="AE21" s="187"/>
      <c r="AF21" s="11"/>
      <c r="AG21" s="11"/>
      <c r="AH21" s="184"/>
      <c r="AI21" s="151" t="s">
        <v>306</v>
      </c>
      <c r="AJ21" s="167"/>
      <c r="AK21" s="11"/>
      <c r="AL21" s="11"/>
      <c r="AM21" s="184"/>
      <c r="AN21" s="40"/>
      <c r="AO21" s="11"/>
      <c r="AP21" s="11"/>
      <c r="AQ21" s="184"/>
      <c r="AR21" s="187"/>
      <c r="AS21" s="11"/>
      <c r="AT21" s="11"/>
      <c r="AU21" s="184"/>
      <c r="AV21" s="187"/>
      <c r="AW21" s="11"/>
      <c r="AX21" s="11"/>
      <c r="AY21" s="184"/>
      <c r="AZ21" s="1"/>
    </row>
    <row r="22" spans="1:52" ht="12.75">
      <c r="A22" s="148" t="s">
        <v>307</v>
      </c>
      <c r="B22" s="149"/>
      <c r="C22" s="11"/>
      <c r="D22" s="133">
        <f>D6/1000</f>
        <v>0</v>
      </c>
      <c r="E22" s="184">
        <f>C22*D22</f>
        <v>0</v>
      </c>
      <c r="F22" s="11"/>
      <c r="G22" s="11">
        <v>73</v>
      </c>
      <c r="H22" s="133">
        <f>H6/1000</f>
        <v>6</v>
      </c>
      <c r="I22" s="184">
        <f>G22*H22</f>
        <v>438</v>
      </c>
      <c r="J22" s="167"/>
      <c r="K22" s="11">
        <v>73</v>
      </c>
      <c r="L22" s="133">
        <f>L6/1000</f>
        <v>5.2</v>
      </c>
      <c r="M22" s="184">
        <f>K22*L22</f>
        <v>379.6</v>
      </c>
      <c r="N22" s="167"/>
      <c r="O22" s="11">
        <v>73</v>
      </c>
      <c r="P22" s="133">
        <f>P6/1000</f>
        <v>5.2</v>
      </c>
      <c r="Q22" s="184">
        <f>O22*P22</f>
        <v>379.6</v>
      </c>
      <c r="R22" s="148" t="s">
        <v>307</v>
      </c>
      <c r="S22" s="167"/>
      <c r="T22" s="11">
        <v>73</v>
      </c>
      <c r="U22" s="133">
        <f>U6/1000</f>
        <v>5.2</v>
      </c>
      <c r="V22" s="184">
        <f>T22*U22</f>
        <v>379.6</v>
      </c>
      <c r="W22" s="187"/>
      <c r="X22" s="11">
        <v>73</v>
      </c>
      <c r="Y22" s="133">
        <f>Y6/1000</f>
        <v>2.8</v>
      </c>
      <c r="Z22" s="184">
        <f>X22*Y22</f>
        <v>204.39999999999998</v>
      </c>
      <c r="AA22" s="187"/>
      <c r="AB22" s="11">
        <v>73</v>
      </c>
      <c r="AC22" s="133">
        <f>AC6/1000</f>
        <v>2</v>
      </c>
      <c r="AD22" s="184">
        <f>AB22*AC22</f>
        <v>146</v>
      </c>
      <c r="AE22" s="187"/>
      <c r="AF22" s="11">
        <v>73</v>
      </c>
      <c r="AG22" s="133">
        <f>AG6/1000</f>
        <v>4</v>
      </c>
      <c r="AH22" s="184">
        <f>AF22*AG22</f>
        <v>292</v>
      </c>
      <c r="AI22" s="148" t="s">
        <v>307</v>
      </c>
      <c r="AJ22" s="167"/>
      <c r="AK22" s="11">
        <v>73</v>
      </c>
      <c r="AL22" s="133">
        <f>AL6/1000</f>
        <v>1.9</v>
      </c>
      <c r="AM22" s="184">
        <f>AK22*AL22</f>
        <v>138.7</v>
      </c>
      <c r="AN22" s="40"/>
      <c r="AO22" s="11"/>
      <c r="AP22" s="133">
        <f>AP6/1000</f>
        <v>0</v>
      </c>
      <c r="AQ22" s="184">
        <f>AO22*AP22</f>
        <v>0</v>
      </c>
      <c r="AR22" s="187"/>
      <c r="AS22" s="11"/>
      <c r="AT22" s="133">
        <f>AT6/1000</f>
        <v>0</v>
      </c>
      <c r="AU22" s="184">
        <f>AS22*AT22</f>
        <v>0</v>
      </c>
      <c r="AV22" s="187"/>
      <c r="AW22" s="11"/>
      <c r="AX22" s="133">
        <f>AX6/1000</f>
        <v>0</v>
      </c>
      <c r="AY22" s="184">
        <f>AW22*AX22</f>
        <v>0</v>
      </c>
      <c r="AZ22" s="1"/>
    </row>
    <row r="23" spans="1:52" ht="12.75">
      <c r="A23" s="148" t="s">
        <v>308</v>
      </c>
      <c r="B23" s="149"/>
      <c r="C23" s="11"/>
      <c r="D23" s="133">
        <f>D6/1000</f>
        <v>0</v>
      </c>
      <c r="E23" s="184">
        <f>C23*D23</f>
        <v>0</v>
      </c>
      <c r="F23" s="11"/>
      <c r="G23" s="11">
        <v>114.5</v>
      </c>
      <c r="H23" s="133">
        <f>H6/1000</f>
        <v>6</v>
      </c>
      <c r="I23" s="184">
        <f>G23*H23</f>
        <v>687</v>
      </c>
      <c r="J23" s="167"/>
      <c r="K23" s="11">
        <v>114.5</v>
      </c>
      <c r="L23" s="133">
        <f>L6/1000</f>
        <v>5.2</v>
      </c>
      <c r="M23" s="184">
        <f>K23*L23</f>
        <v>595.4</v>
      </c>
      <c r="N23" s="167"/>
      <c r="O23" s="11">
        <v>114.5</v>
      </c>
      <c r="P23" s="133">
        <f>P6/1000</f>
        <v>5.2</v>
      </c>
      <c r="Q23" s="184">
        <f>O23*P23</f>
        <v>595.4</v>
      </c>
      <c r="R23" s="148" t="s">
        <v>308</v>
      </c>
      <c r="S23" s="167"/>
      <c r="T23" s="11">
        <v>114.5</v>
      </c>
      <c r="U23" s="133">
        <f>U6/1000</f>
        <v>5.2</v>
      </c>
      <c r="V23" s="184">
        <f>T23*U23</f>
        <v>595.4</v>
      </c>
      <c r="W23" s="187"/>
      <c r="X23" s="11">
        <v>114.5</v>
      </c>
      <c r="Y23" s="133">
        <f>Y6/1000</f>
        <v>2.8</v>
      </c>
      <c r="Z23" s="184">
        <f>X23*Y23</f>
        <v>320.59999999999997</v>
      </c>
      <c r="AA23" s="187"/>
      <c r="AB23" s="11">
        <v>114.5</v>
      </c>
      <c r="AC23" s="133">
        <f>AC6/1000</f>
        <v>2</v>
      </c>
      <c r="AD23" s="184">
        <f>AB23*AC23</f>
        <v>229</v>
      </c>
      <c r="AE23" s="187"/>
      <c r="AF23" s="11">
        <v>114.5</v>
      </c>
      <c r="AG23" s="133">
        <f>AG6/1000</f>
        <v>4</v>
      </c>
      <c r="AH23" s="184">
        <f>AF23*AG23</f>
        <v>458</v>
      </c>
      <c r="AI23" s="148" t="s">
        <v>308</v>
      </c>
      <c r="AJ23" s="167"/>
      <c r="AK23" s="11">
        <v>114.5</v>
      </c>
      <c r="AL23" s="133">
        <f>AL6/1000</f>
        <v>1.9</v>
      </c>
      <c r="AM23" s="184">
        <f>AK23*AL23</f>
        <v>217.54999999999998</v>
      </c>
      <c r="AN23" s="40"/>
      <c r="AO23" s="11"/>
      <c r="AP23" s="133">
        <f>AP6/1000</f>
        <v>0</v>
      </c>
      <c r="AQ23" s="184">
        <f>AO23*AP23</f>
        <v>0</v>
      </c>
      <c r="AR23" s="187"/>
      <c r="AS23" s="11"/>
      <c r="AT23" s="133">
        <f>AT6/1000</f>
        <v>0</v>
      </c>
      <c r="AU23" s="184">
        <f>AS23*AT23</f>
        <v>0</v>
      </c>
      <c r="AV23" s="187"/>
      <c r="AW23" s="11"/>
      <c r="AX23" s="133">
        <f>AX6/1000</f>
        <v>0</v>
      </c>
      <c r="AY23" s="184">
        <f>AW23*AX23</f>
        <v>0</v>
      </c>
      <c r="AZ23" s="1"/>
    </row>
    <row r="24" spans="1:52" ht="12.75">
      <c r="A24" s="148" t="s">
        <v>309</v>
      </c>
      <c r="B24" s="149"/>
      <c r="C24" s="11"/>
      <c r="D24" s="11"/>
      <c r="E24" s="184">
        <f>C24*D24</f>
        <v>0</v>
      </c>
      <c r="F24" s="183"/>
      <c r="G24" s="11">
        <v>158</v>
      </c>
      <c r="H24" s="11">
        <v>1</v>
      </c>
      <c r="I24" s="184">
        <f>G24*H24</f>
        <v>158</v>
      </c>
      <c r="J24" s="167"/>
      <c r="K24" s="11">
        <v>158</v>
      </c>
      <c r="L24" s="11">
        <v>1</v>
      </c>
      <c r="M24" s="184">
        <f>K24*L24</f>
        <v>158</v>
      </c>
      <c r="N24" s="167"/>
      <c r="O24" s="11">
        <v>158</v>
      </c>
      <c r="P24" s="11">
        <v>1</v>
      </c>
      <c r="Q24" s="184">
        <f>O24*P24</f>
        <v>158</v>
      </c>
      <c r="R24" s="148" t="s">
        <v>309</v>
      </c>
      <c r="S24" s="167"/>
      <c r="T24" s="11"/>
      <c r="U24" s="11">
        <v>1</v>
      </c>
      <c r="V24" s="184">
        <f>T24*U24</f>
        <v>0</v>
      </c>
      <c r="W24" s="187"/>
      <c r="X24" s="11">
        <v>239</v>
      </c>
      <c r="Y24" s="11">
        <v>1</v>
      </c>
      <c r="Z24" s="184">
        <f>X24*Y24</f>
        <v>239</v>
      </c>
      <c r="AA24" s="187"/>
      <c r="AB24" s="11">
        <v>214</v>
      </c>
      <c r="AC24" s="11">
        <v>1</v>
      </c>
      <c r="AD24" s="184">
        <f>AB24*AC24</f>
        <v>214</v>
      </c>
      <c r="AE24" s="187"/>
      <c r="AF24" s="11">
        <v>158</v>
      </c>
      <c r="AG24" s="11">
        <v>1</v>
      </c>
      <c r="AH24" s="184">
        <f>AF24*AG24</f>
        <v>158</v>
      </c>
      <c r="AI24" s="148" t="s">
        <v>309</v>
      </c>
      <c r="AJ24" s="167"/>
      <c r="AK24" s="11">
        <v>181</v>
      </c>
      <c r="AL24" s="11">
        <v>1</v>
      </c>
      <c r="AM24" s="184">
        <f>AK24*AL24</f>
        <v>181</v>
      </c>
      <c r="AN24" s="40"/>
      <c r="AO24" s="11"/>
      <c r="AP24" s="11"/>
      <c r="AQ24" s="184">
        <f>AO24*AP24</f>
        <v>0</v>
      </c>
      <c r="AR24" s="187"/>
      <c r="AS24" s="11"/>
      <c r="AT24" s="11"/>
      <c r="AU24" s="184">
        <f>AS24*AT24</f>
        <v>0</v>
      </c>
      <c r="AV24" s="187"/>
      <c r="AW24" s="11"/>
      <c r="AX24" s="11"/>
      <c r="AY24" s="184">
        <f>AW24*AX24</f>
        <v>0</v>
      </c>
      <c r="AZ24" s="1"/>
    </row>
    <row r="25" spans="1:52" ht="12.75">
      <c r="A25" s="148" t="s">
        <v>304</v>
      </c>
      <c r="B25" s="149"/>
      <c r="C25" s="11"/>
      <c r="D25" s="11"/>
      <c r="E25" s="184">
        <f>C25*D25</f>
        <v>0</v>
      </c>
      <c r="F25" s="183"/>
      <c r="G25" s="11"/>
      <c r="H25" s="11"/>
      <c r="I25" s="184"/>
      <c r="J25" s="167"/>
      <c r="K25" s="11"/>
      <c r="L25" s="11"/>
      <c r="M25" s="184"/>
      <c r="N25" s="167"/>
      <c r="O25" s="11"/>
      <c r="P25" s="11"/>
      <c r="Q25" s="184"/>
      <c r="R25" s="148" t="s">
        <v>304</v>
      </c>
      <c r="S25" s="167"/>
      <c r="T25" s="11"/>
      <c r="U25" s="11"/>
      <c r="V25" s="184">
        <f>T25*U25</f>
        <v>0</v>
      </c>
      <c r="W25" s="187"/>
      <c r="X25" s="11"/>
      <c r="Y25" s="11"/>
      <c r="Z25" s="184"/>
      <c r="AA25" s="187"/>
      <c r="AB25" s="11"/>
      <c r="AC25" s="11"/>
      <c r="AD25" s="184"/>
      <c r="AE25" s="187"/>
      <c r="AF25" s="11"/>
      <c r="AG25" s="11"/>
      <c r="AH25" s="184"/>
      <c r="AI25" s="148" t="s">
        <v>304</v>
      </c>
      <c r="AJ25" s="167"/>
      <c r="AK25" s="11"/>
      <c r="AL25" s="11"/>
      <c r="AM25" s="184">
        <f>AK25*AL25</f>
        <v>0</v>
      </c>
      <c r="AN25" s="40"/>
      <c r="AO25" s="11"/>
      <c r="AP25" s="11"/>
      <c r="AQ25" s="184"/>
      <c r="AR25" s="187"/>
      <c r="AS25" s="11"/>
      <c r="AT25" s="11"/>
      <c r="AU25" s="184"/>
      <c r="AV25" s="187"/>
      <c r="AW25" s="11"/>
      <c r="AX25" s="11"/>
      <c r="AY25" s="184"/>
      <c r="AZ25" s="1"/>
    </row>
    <row r="26" spans="1:52" ht="12.75">
      <c r="A26" s="148" t="s">
        <v>310</v>
      </c>
      <c r="B26" s="183"/>
      <c r="C26" s="11">
        <v>0.03</v>
      </c>
      <c r="D26" s="181">
        <f>SUM(E20:E24)</f>
        <v>200</v>
      </c>
      <c r="E26" s="184">
        <f>C26*D26</f>
        <v>6</v>
      </c>
      <c r="F26" s="183"/>
      <c r="G26" s="11">
        <v>0.03</v>
      </c>
      <c r="H26" s="181">
        <f>SUM(I20:I24)</f>
        <v>3512.305</v>
      </c>
      <c r="I26" s="184">
        <f>G26*H26</f>
        <v>105.36914999999999</v>
      </c>
      <c r="J26" s="167"/>
      <c r="K26" s="11">
        <v>0.03</v>
      </c>
      <c r="L26" s="181">
        <f>SUM(M20:M24)</f>
        <v>2853.625</v>
      </c>
      <c r="M26" s="184">
        <f>K26*L26</f>
        <v>85.60875</v>
      </c>
      <c r="N26" s="167"/>
      <c r="O26" s="11">
        <v>0.03</v>
      </c>
      <c r="P26" s="181">
        <f>SUM(Q20:Q24)</f>
        <v>2759.925</v>
      </c>
      <c r="Q26" s="184">
        <f>O26*P26</f>
        <v>82.79775000000001</v>
      </c>
      <c r="R26" s="148" t="s">
        <v>310</v>
      </c>
      <c r="S26" s="167"/>
      <c r="T26" s="11">
        <v>0.03</v>
      </c>
      <c r="U26" s="181">
        <f>SUM(V20:V24)</f>
        <v>3077.6</v>
      </c>
      <c r="V26" s="184">
        <f>T26*U26</f>
        <v>92.32799999999999</v>
      </c>
      <c r="W26" s="187"/>
      <c r="X26" s="11">
        <v>0.03</v>
      </c>
      <c r="Y26" s="181">
        <f>SUM(Z20:Z24)</f>
        <v>3438.3</v>
      </c>
      <c r="Z26" s="184">
        <f>X26*Y26</f>
        <v>103.149</v>
      </c>
      <c r="AA26" s="187"/>
      <c r="AB26" s="11">
        <v>0.03</v>
      </c>
      <c r="AC26" s="181">
        <f>SUM(AD20:AD24)</f>
        <v>2312</v>
      </c>
      <c r="AD26" s="184">
        <f>AB26*AC26</f>
        <v>69.36</v>
      </c>
      <c r="AE26" s="187"/>
      <c r="AF26" s="11">
        <v>0.03</v>
      </c>
      <c r="AG26" s="181">
        <f>SUM(AH20:AH24)</f>
        <v>2704.8</v>
      </c>
      <c r="AH26" s="184">
        <f>AF26*AG26</f>
        <v>81.144</v>
      </c>
      <c r="AI26" s="148" t="s">
        <v>310</v>
      </c>
      <c r="AJ26" s="167"/>
      <c r="AK26" s="11">
        <v>0.03</v>
      </c>
      <c r="AL26" s="181">
        <f>SUM(AM20:AM24)</f>
        <v>2048.8500000000004</v>
      </c>
      <c r="AM26" s="184">
        <f>AK26*AL26</f>
        <v>61.465500000000006</v>
      </c>
      <c r="AN26" s="40"/>
      <c r="AO26" s="11">
        <v>0.03</v>
      </c>
      <c r="AP26" s="181">
        <f>SUM(AQ20:AQ24)</f>
        <v>0</v>
      </c>
      <c r="AQ26" s="184">
        <f>AO26*AP26</f>
        <v>0</v>
      </c>
      <c r="AR26" s="187"/>
      <c r="AS26" s="11">
        <v>0.03</v>
      </c>
      <c r="AT26" s="181">
        <f>SUM(AU20:AU24)</f>
        <v>0</v>
      </c>
      <c r="AU26" s="184">
        <f>AS26*AT26</f>
        <v>0</v>
      </c>
      <c r="AV26" s="187"/>
      <c r="AW26" s="11">
        <v>0.03</v>
      </c>
      <c r="AX26" s="181">
        <f>SUM(AY20:AY24)</f>
        <v>0</v>
      </c>
      <c r="AY26" s="184">
        <f>AW26*AX26</f>
        <v>0</v>
      </c>
      <c r="AZ26" s="1"/>
    </row>
    <row r="27" spans="1:52" ht="12.75">
      <c r="A27" s="150" t="s">
        <v>311</v>
      </c>
      <c r="B27" s="149"/>
      <c r="C27" s="11"/>
      <c r="D27" s="11"/>
      <c r="E27" s="184">
        <f>SUM(E21:E26)</f>
        <v>6</v>
      </c>
      <c r="F27" s="183"/>
      <c r="G27" s="11"/>
      <c r="H27" s="11"/>
      <c r="I27" s="184">
        <f>SUM(I21:I26)</f>
        <v>1388.36915</v>
      </c>
      <c r="J27" s="167"/>
      <c r="K27" s="11"/>
      <c r="L27" s="11"/>
      <c r="M27" s="184">
        <f>SUM(M21:M26)</f>
        <v>1218.60875</v>
      </c>
      <c r="N27" s="167"/>
      <c r="O27" s="11"/>
      <c r="P27" s="11"/>
      <c r="Q27" s="184">
        <f>SUM(Q21:Q26)</f>
        <v>1215.79775</v>
      </c>
      <c r="R27" s="150" t="s">
        <v>311</v>
      </c>
      <c r="S27" s="167"/>
      <c r="T27" s="11"/>
      <c r="U27" s="11"/>
      <c r="V27" s="184">
        <f>SUM(V21:V26)</f>
        <v>1067.328</v>
      </c>
      <c r="W27" s="187"/>
      <c r="X27" s="11"/>
      <c r="Y27" s="11"/>
      <c r="Z27" s="184">
        <f>SUM(Z21:Z26)</f>
        <v>867.149</v>
      </c>
      <c r="AA27" s="187"/>
      <c r="AB27" s="11"/>
      <c r="AC27" s="11"/>
      <c r="AD27" s="184">
        <f>SUM(AD21:AD26)</f>
        <v>658.36</v>
      </c>
      <c r="AE27" s="187"/>
      <c r="AF27" s="11"/>
      <c r="AG27" s="11"/>
      <c r="AH27" s="184">
        <f>SUM(AH21:AH26)</f>
        <v>989.144</v>
      </c>
      <c r="AI27" s="150" t="s">
        <v>311</v>
      </c>
      <c r="AJ27" s="167"/>
      <c r="AK27" s="11"/>
      <c r="AL27" s="11"/>
      <c r="AM27" s="184">
        <f>SUM(AM21:AM26)</f>
        <v>598.7155</v>
      </c>
      <c r="AN27" s="40"/>
      <c r="AO27" s="11"/>
      <c r="AP27" s="11"/>
      <c r="AQ27" s="184">
        <f>SUM(AQ21:AQ26)</f>
        <v>0</v>
      </c>
      <c r="AR27" s="187"/>
      <c r="AS27" s="11"/>
      <c r="AT27" s="11"/>
      <c r="AU27" s="184">
        <f>SUM(AU21:AU26)</f>
        <v>0</v>
      </c>
      <c r="AV27" s="187"/>
      <c r="AW27" s="11"/>
      <c r="AX27" s="11"/>
      <c r="AY27" s="184">
        <f>SUM(AY21:AY26)</f>
        <v>0</v>
      </c>
      <c r="AZ27" s="1"/>
    </row>
    <row r="28" spans="1:52" ht="12.75">
      <c r="A28" s="148"/>
      <c r="B28" s="149"/>
      <c r="C28" s="11"/>
      <c r="D28" s="11"/>
      <c r="E28" s="184"/>
      <c r="F28" s="183"/>
      <c r="G28" s="11"/>
      <c r="H28" s="11"/>
      <c r="I28" s="184"/>
      <c r="J28" s="167"/>
      <c r="K28" s="11"/>
      <c r="L28" s="11"/>
      <c r="M28" s="184"/>
      <c r="N28" s="167"/>
      <c r="O28" s="11"/>
      <c r="P28" s="11"/>
      <c r="Q28" s="184"/>
      <c r="R28" s="148"/>
      <c r="S28" s="167"/>
      <c r="T28" s="11"/>
      <c r="U28" s="11"/>
      <c r="V28" s="184"/>
      <c r="W28" s="187"/>
      <c r="X28" s="11"/>
      <c r="Y28" s="11"/>
      <c r="Z28" s="184"/>
      <c r="AA28" s="187"/>
      <c r="AB28" s="11"/>
      <c r="AC28" s="11"/>
      <c r="AD28" s="184"/>
      <c r="AE28" s="187"/>
      <c r="AF28" s="11"/>
      <c r="AG28" s="11"/>
      <c r="AH28" s="184"/>
      <c r="AI28" s="148"/>
      <c r="AJ28" s="167"/>
      <c r="AK28" s="11"/>
      <c r="AL28" s="11"/>
      <c r="AM28" s="184"/>
      <c r="AN28" s="40"/>
      <c r="AO28" s="11"/>
      <c r="AP28" s="11"/>
      <c r="AQ28" s="184"/>
      <c r="AR28" s="187"/>
      <c r="AS28" s="11"/>
      <c r="AT28" s="11"/>
      <c r="AU28" s="184"/>
      <c r="AV28" s="187"/>
      <c r="AW28" s="11"/>
      <c r="AX28" s="11"/>
      <c r="AY28" s="184"/>
      <c r="AZ28" s="1"/>
    </row>
    <row r="29" spans="1:52" ht="12.75">
      <c r="A29" s="150" t="s">
        <v>312</v>
      </c>
      <c r="B29" s="149"/>
      <c r="C29" s="11"/>
      <c r="D29" s="11"/>
      <c r="E29" s="184">
        <f>E20+E27</f>
        <v>206</v>
      </c>
      <c r="F29" s="183"/>
      <c r="G29" s="11"/>
      <c r="H29" s="11"/>
      <c r="I29" s="184">
        <f>I20+I27</f>
        <v>3617.67415</v>
      </c>
      <c r="J29" s="167"/>
      <c r="K29" s="11"/>
      <c r="L29" s="11"/>
      <c r="M29" s="184">
        <f>M20+M27</f>
        <v>2939.2337500000003</v>
      </c>
      <c r="N29" s="167"/>
      <c r="O29" s="11"/>
      <c r="P29" s="11"/>
      <c r="Q29" s="184">
        <f>Q20+Q27</f>
        <v>2842.72275</v>
      </c>
      <c r="R29" s="150" t="s">
        <v>312</v>
      </c>
      <c r="S29" s="167"/>
      <c r="T29" s="11"/>
      <c r="U29" s="11"/>
      <c r="V29" s="184">
        <f>V20+V27</f>
        <v>3169.928</v>
      </c>
      <c r="W29" s="187"/>
      <c r="X29" s="11"/>
      <c r="Y29" s="11"/>
      <c r="Z29" s="184">
        <f>Z20+Z27</f>
        <v>3541.449</v>
      </c>
      <c r="AA29" s="187"/>
      <c r="AB29" s="11"/>
      <c r="AC29" s="11"/>
      <c r="AD29" s="184">
        <f>AD20+AD27</f>
        <v>2381.3599999999997</v>
      </c>
      <c r="AE29" s="187"/>
      <c r="AF29" s="11"/>
      <c r="AG29" s="11"/>
      <c r="AH29" s="184">
        <f>AH20+AH27</f>
        <v>2785.944</v>
      </c>
      <c r="AI29" s="150" t="s">
        <v>312</v>
      </c>
      <c r="AJ29" s="167"/>
      <c r="AK29" s="11"/>
      <c r="AL29" s="11"/>
      <c r="AM29" s="184">
        <f>AM20+AM27</f>
        <v>2110.3155</v>
      </c>
      <c r="AN29" s="40"/>
      <c r="AO29" s="11"/>
      <c r="AP29" s="11"/>
      <c r="AQ29" s="184">
        <f>AQ20+AQ27</f>
        <v>0</v>
      </c>
      <c r="AR29" s="187"/>
      <c r="AS29" s="11"/>
      <c r="AT29" s="11"/>
      <c r="AU29" s="184">
        <f>AU20+AU27</f>
        <v>0</v>
      </c>
      <c r="AV29" s="187"/>
      <c r="AW29" s="11"/>
      <c r="AX29" s="11"/>
      <c r="AY29" s="184">
        <f>AY20+AY27</f>
        <v>0</v>
      </c>
      <c r="AZ29" s="1"/>
    </row>
    <row r="30" spans="1:52" ht="12.75">
      <c r="A30" s="148"/>
      <c r="B30" s="149"/>
      <c r="C30" s="11"/>
      <c r="D30" s="11"/>
      <c r="E30" s="184"/>
      <c r="F30" s="183"/>
      <c r="G30" s="11"/>
      <c r="H30" s="11"/>
      <c r="I30" s="184"/>
      <c r="J30" s="167"/>
      <c r="K30" s="11"/>
      <c r="L30" s="11"/>
      <c r="M30" s="184"/>
      <c r="N30" s="167"/>
      <c r="O30" s="11"/>
      <c r="P30" s="11"/>
      <c r="Q30" s="184"/>
      <c r="R30" s="148"/>
      <c r="S30" s="167"/>
      <c r="T30" s="11"/>
      <c r="U30" s="11"/>
      <c r="V30" s="184"/>
      <c r="W30" s="187"/>
      <c r="X30" s="11"/>
      <c r="Y30" s="11"/>
      <c r="Z30" s="184"/>
      <c r="AA30" s="187"/>
      <c r="AB30" s="11"/>
      <c r="AC30" s="11"/>
      <c r="AD30" s="184"/>
      <c r="AE30" s="187"/>
      <c r="AF30" s="11"/>
      <c r="AG30" s="11"/>
      <c r="AH30" s="184"/>
      <c r="AI30" s="148"/>
      <c r="AJ30" s="167"/>
      <c r="AK30" s="11"/>
      <c r="AL30" s="11"/>
      <c r="AM30" s="184"/>
      <c r="AN30" s="40"/>
      <c r="AO30" s="11"/>
      <c r="AP30" s="11"/>
      <c r="AQ30" s="184"/>
      <c r="AR30" s="187"/>
      <c r="AS30" s="11"/>
      <c r="AT30" s="11"/>
      <c r="AU30" s="184"/>
      <c r="AV30" s="187"/>
      <c r="AW30" s="11"/>
      <c r="AX30" s="11"/>
      <c r="AY30" s="184"/>
      <c r="AZ30" s="1"/>
    </row>
    <row r="31" spans="1:52" ht="12.75">
      <c r="A31" s="150" t="s">
        <v>313</v>
      </c>
      <c r="B31" s="149"/>
      <c r="C31" s="11"/>
      <c r="D31" s="11"/>
      <c r="E31" s="184">
        <f>E9-E29</f>
        <v>2131</v>
      </c>
      <c r="F31" s="183"/>
      <c r="G31" s="11"/>
      <c r="H31" s="11"/>
      <c r="I31" s="184">
        <f>I9-I29</f>
        <v>5302.32585</v>
      </c>
      <c r="J31" s="167"/>
      <c r="K31" s="11"/>
      <c r="L31" s="11"/>
      <c r="M31" s="184">
        <f>M9-M29</f>
        <v>4360.76625</v>
      </c>
      <c r="N31" s="167"/>
      <c r="O31" s="11"/>
      <c r="P31" s="11"/>
      <c r="Q31" s="184">
        <f>Q9-Q29</f>
        <v>3781.27725</v>
      </c>
      <c r="R31" s="150" t="s">
        <v>313</v>
      </c>
      <c r="S31" s="167"/>
      <c r="T31" s="11"/>
      <c r="U31" s="11"/>
      <c r="V31" s="184">
        <f>V9-V29</f>
        <v>5222.072</v>
      </c>
      <c r="W31" s="187"/>
      <c r="X31" s="11"/>
      <c r="Y31" s="11"/>
      <c r="Z31" s="184">
        <f>Z9-Z29</f>
        <v>5518.5509999999995</v>
      </c>
      <c r="AA31" s="187"/>
      <c r="AB31" s="11"/>
      <c r="AC31" s="11"/>
      <c r="AD31" s="184">
        <f>AD9-AD29</f>
        <v>4838.64</v>
      </c>
      <c r="AE31" s="187"/>
      <c r="AF31" s="11"/>
      <c r="AG31" s="11"/>
      <c r="AH31" s="184">
        <f>AH9-AH29</f>
        <v>4234.0560000000005</v>
      </c>
      <c r="AI31" s="150" t="s">
        <v>313</v>
      </c>
      <c r="AJ31" s="167"/>
      <c r="AK31" s="11"/>
      <c r="AL31" s="11"/>
      <c r="AM31" s="184">
        <f>AM9-AM29</f>
        <v>4309.684499999999</v>
      </c>
      <c r="AN31" s="40"/>
      <c r="AO31" s="11"/>
      <c r="AP31" s="11"/>
      <c r="AQ31" s="184">
        <f>AQ9-AQ29</f>
        <v>0</v>
      </c>
      <c r="AR31" s="187"/>
      <c r="AS31" s="11"/>
      <c r="AT31" s="11"/>
      <c r="AU31" s="184">
        <f>AU9-AU29</f>
        <v>0</v>
      </c>
      <c r="AV31" s="187"/>
      <c r="AW31" s="11"/>
      <c r="AX31" s="11"/>
      <c r="AY31" s="184">
        <f>AY9-AY29</f>
        <v>0</v>
      </c>
      <c r="AZ31" s="1"/>
    </row>
    <row r="32" spans="1:52" ht="12.75">
      <c r="A32" s="148"/>
      <c r="B32" s="149"/>
      <c r="C32" s="11"/>
      <c r="D32" s="11"/>
      <c r="E32" s="184"/>
      <c r="F32" s="183"/>
      <c r="G32" s="11"/>
      <c r="H32" s="11"/>
      <c r="I32" s="184"/>
      <c r="J32" s="167"/>
      <c r="K32" s="11"/>
      <c r="L32" s="11"/>
      <c r="M32" s="184"/>
      <c r="N32" s="167"/>
      <c r="O32" s="11"/>
      <c r="P32" s="11"/>
      <c r="Q32" s="184"/>
      <c r="R32" s="148"/>
      <c r="S32" s="167"/>
      <c r="T32" s="11"/>
      <c r="U32" s="11"/>
      <c r="V32" s="184"/>
      <c r="W32" s="187"/>
      <c r="X32" s="11"/>
      <c r="Y32" s="11"/>
      <c r="Z32" s="184"/>
      <c r="AA32" s="187"/>
      <c r="AB32" s="11"/>
      <c r="AC32" s="11"/>
      <c r="AD32" s="184"/>
      <c r="AE32" s="187"/>
      <c r="AF32" s="11"/>
      <c r="AG32" s="11"/>
      <c r="AH32" s="184"/>
      <c r="AI32" s="148"/>
      <c r="AJ32" s="167"/>
      <c r="AK32" s="11"/>
      <c r="AL32" s="11"/>
      <c r="AM32" s="184"/>
      <c r="AN32" s="40"/>
      <c r="AO32" s="11"/>
      <c r="AP32" s="11"/>
      <c r="AQ32" s="184"/>
      <c r="AR32" s="187"/>
      <c r="AS32" s="11"/>
      <c r="AT32" s="11"/>
      <c r="AU32" s="184"/>
      <c r="AV32" s="187"/>
      <c r="AW32" s="11"/>
      <c r="AX32" s="11"/>
      <c r="AY32" s="184"/>
      <c r="AZ32" s="1"/>
    </row>
    <row r="33" spans="1:52" ht="12.75">
      <c r="A33" s="148" t="s">
        <v>332</v>
      </c>
      <c r="B33" s="149"/>
      <c r="C33" s="11"/>
      <c r="D33" s="11"/>
      <c r="E33" s="184"/>
      <c r="F33" s="183"/>
      <c r="G33" s="11"/>
      <c r="H33" s="11"/>
      <c r="I33" s="184"/>
      <c r="J33" s="167"/>
      <c r="K33" s="11"/>
      <c r="L33" s="11"/>
      <c r="M33" s="184"/>
      <c r="N33" s="167"/>
      <c r="O33" s="11"/>
      <c r="P33" s="11"/>
      <c r="Q33" s="184"/>
      <c r="R33" s="148" t="s">
        <v>332</v>
      </c>
      <c r="S33" s="167"/>
      <c r="T33" s="11"/>
      <c r="U33" s="11"/>
      <c r="V33" s="184"/>
      <c r="W33" s="187"/>
      <c r="X33" s="11"/>
      <c r="Y33" s="11"/>
      <c r="Z33" s="184"/>
      <c r="AA33" s="187"/>
      <c r="AB33" s="11"/>
      <c r="AC33" s="11"/>
      <c r="AD33" s="184"/>
      <c r="AE33" s="187"/>
      <c r="AF33" s="11"/>
      <c r="AG33" s="11"/>
      <c r="AH33" s="184"/>
      <c r="AI33" s="148" t="s">
        <v>332</v>
      </c>
      <c r="AJ33" s="167"/>
      <c r="AK33" s="11"/>
      <c r="AL33" s="11"/>
      <c r="AM33" s="184"/>
      <c r="AN33" s="40"/>
      <c r="AO33" s="11"/>
      <c r="AP33" s="11"/>
      <c r="AQ33" s="184"/>
      <c r="AR33" s="187"/>
      <c r="AS33" s="11"/>
      <c r="AT33" s="11"/>
      <c r="AU33" s="184"/>
      <c r="AV33" s="187"/>
      <c r="AW33" s="11"/>
      <c r="AX33" s="11"/>
      <c r="AY33" s="184"/>
      <c r="AZ33" s="1"/>
    </row>
    <row r="34" spans="1:52" ht="12.75">
      <c r="A34" s="148" t="s">
        <v>339</v>
      </c>
      <c r="B34" s="149"/>
      <c r="C34" s="11"/>
      <c r="D34" s="11"/>
      <c r="E34" s="184">
        <f>C34*D34</f>
        <v>0</v>
      </c>
      <c r="F34" s="183"/>
      <c r="G34" s="11"/>
      <c r="H34" s="11"/>
      <c r="I34" s="184">
        <f>G34*H34</f>
        <v>0</v>
      </c>
      <c r="J34" s="167"/>
      <c r="K34" s="11"/>
      <c r="L34" s="11"/>
      <c r="M34" s="184">
        <f>K34*L34</f>
        <v>0</v>
      </c>
      <c r="N34" s="167"/>
      <c r="O34" s="11"/>
      <c r="P34" s="11"/>
      <c r="Q34" s="184">
        <f>O34*P34</f>
        <v>0</v>
      </c>
      <c r="R34" s="148"/>
      <c r="S34" s="167"/>
      <c r="T34" s="11"/>
      <c r="U34" s="11"/>
      <c r="V34" s="184">
        <f>T34*U34</f>
        <v>0</v>
      </c>
      <c r="W34" s="187"/>
      <c r="X34" s="11"/>
      <c r="Y34" s="11"/>
      <c r="Z34" s="184">
        <f>X34*Y34</f>
        <v>0</v>
      </c>
      <c r="AA34" s="187"/>
      <c r="AB34" s="11"/>
      <c r="AC34" s="11"/>
      <c r="AD34" s="184">
        <f>AB34*AC34</f>
        <v>0</v>
      </c>
      <c r="AE34" s="187"/>
      <c r="AF34" s="11"/>
      <c r="AG34" s="11"/>
      <c r="AH34" s="184">
        <f>AF34*AG34</f>
        <v>0</v>
      </c>
      <c r="AI34" s="148"/>
      <c r="AJ34" s="167"/>
      <c r="AK34" s="11"/>
      <c r="AL34" s="11"/>
      <c r="AM34" s="184">
        <f>AK34*AL34</f>
        <v>0</v>
      </c>
      <c r="AN34" s="40"/>
      <c r="AO34" s="11"/>
      <c r="AP34" s="11"/>
      <c r="AQ34" s="184">
        <f>AO34*AP34</f>
        <v>0</v>
      </c>
      <c r="AR34" s="187"/>
      <c r="AS34" s="11"/>
      <c r="AT34" s="11"/>
      <c r="AU34" s="184">
        <f>AS34*AT34</f>
        <v>0</v>
      </c>
      <c r="AV34" s="187"/>
      <c r="AW34" s="11"/>
      <c r="AX34" s="11"/>
      <c r="AY34" s="184">
        <f>AW34*AX34</f>
        <v>0</v>
      </c>
      <c r="AZ34" s="1"/>
    </row>
    <row r="35" spans="1:52" ht="12.75">
      <c r="A35" s="148"/>
      <c r="B35" s="149"/>
      <c r="C35" s="11"/>
      <c r="D35" s="11"/>
      <c r="E35" s="185"/>
      <c r="F35" s="149"/>
      <c r="G35" s="11"/>
      <c r="H35" s="40"/>
      <c r="I35" s="185"/>
      <c r="J35" s="167"/>
      <c r="K35" s="11"/>
      <c r="L35" s="11"/>
      <c r="M35" s="185"/>
      <c r="N35" s="167"/>
      <c r="O35" s="11"/>
      <c r="P35" s="11"/>
      <c r="Q35" s="185"/>
      <c r="R35" s="148"/>
      <c r="S35" s="167"/>
      <c r="T35" s="11"/>
      <c r="U35" s="11"/>
      <c r="V35" s="185"/>
      <c r="W35" s="187"/>
      <c r="X35" s="11"/>
      <c r="Y35" s="11"/>
      <c r="Z35" s="185"/>
      <c r="AA35" s="187"/>
      <c r="AB35" s="11"/>
      <c r="AC35" s="11"/>
      <c r="AD35" s="185"/>
      <c r="AE35" s="187"/>
      <c r="AF35" s="11"/>
      <c r="AG35" s="11"/>
      <c r="AH35" s="185"/>
      <c r="AI35" s="148"/>
      <c r="AJ35" s="167"/>
      <c r="AK35" s="11"/>
      <c r="AL35" s="11"/>
      <c r="AM35" s="185"/>
      <c r="AN35" s="11"/>
      <c r="AO35" s="11"/>
      <c r="AP35" s="11"/>
      <c r="AQ35" s="185"/>
      <c r="AR35" s="187"/>
      <c r="AS35" s="11"/>
      <c r="AT35" s="11"/>
      <c r="AU35" s="185"/>
      <c r="AV35" s="187"/>
      <c r="AW35" s="11"/>
      <c r="AX35" s="11"/>
      <c r="AY35" s="185"/>
      <c r="AZ35" s="1"/>
    </row>
    <row r="36" spans="1:52" ht="12.75">
      <c r="A36" s="150" t="s">
        <v>320</v>
      </c>
      <c r="B36" s="149"/>
      <c r="C36" s="11"/>
      <c r="D36" s="11"/>
      <c r="E36" s="184">
        <f>E31-E33-E34</f>
        <v>2131</v>
      </c>
      <c r="F36" s="183"/>
      <c r="G36" s="11"/>
      <c r="H36" s="11"/>
      <c r="I36" s="184">
        <f>I31-I33-I34</f>
        <v>5302.32585</v>
      </c>
      <c r="J36" s="167"/>
      <c r="K36" s="11"/>
      <c r="L36" s="11"/>
      <c r="M36" s="184">
        <f>M31-M33-M34</f>
        <v>4360.76625</v>
      </c>
      <c r="N36" s="167"/>
      <c r="O36" s="11"/>
      <c r="P36" s="11"/>
      <c r="Q36" s="184">
        <f>Q31-Q33-Q34</f>
        <v>3781.27725</v>
      </c>
      <c r="R36" s="150" t="s">
        <v>320</v>
      </c>
      <c r="S36" s="167"/>
      <c r="T36" s="11"/>
      <c r="U36" s="11"/>
      <c r="V36" s="184">
        <f>V31-V33-V34</f>
        <v>5222.072</v>
      </c>
      <c r="W36" s="187"/>
      <c r="X36" s="11"/>
      <c r="Y36" s="11"/>
      <c r="Z36" s="184">
        <f>Z31-Z33-Z34</f>
        <v>5518.5509999999995</v>
      </c>
      <c r="AA36" s="187"/>
      <c r="AB36" s="11"/>
      <c r="AC36" s="11"/>
      <c r="AD36" s="184">
        <f>AD31-AD33-AD34</f>
        <v>4838.64</v>
      </c>
      <c r="AE36" s="187"/>
      <c r="AF36" s="11"/>
      <c r="AG36" s="11"/>
      <c r="AH36" s="184">
        <f>AH31-AH33-AH34</f>
        <v>4234.0560000000005</v>
      </c>
      <c r="AI36" s="150" t="s">
        <v>320</v>
      </c>
      <c r="AJ36" s="167"/>
      <c r="AK36" s="11"/>
      <c r="AL36" s="11"/>
      <c r="AM36" s="184">
        <f>AM31-AM33-AM34</f>
        <v>4309.684499999999</v>
      </c>
      <c r="AN36" s="40"/>
      <c r="AO36" s="11"/>
      <c r="AP36" s="11"/>
      <c r="AQ36" s="184">
        <f>AQ31-AQ33-AQ34</f>
        <v>0</v>
      </c>
      <c r="AR36" s="187"/>
      <c r="AS36" s="11"/>
      <c r="AT36" s="11"/>
      <c r="AU36" s="184">
        <f>AU31-AU33-AU34</f>
        <v>0</v>
      </c>
      <c r="AV36" s="187"/>
      <c r="AW36" s="11"/>
      <c r="AX36" s="11"/>
      <c r="AY36" s="184">
        <f>AY31-AY33-AY34</f>
        <v>0</v>
      </c>
      <c r="AZ36" s="22"/>
    </row>
    <row r="37" spans="1:52" ht="12.75">
      <c r="A37" s="148"/>
      <c r="B37" s="149"/>
      <c r="C37" s="11"/>
      <c r="D37" s="11"/>
      <c r="E37" s="185"/>
      <c r="F37" s="149"/>
      <c r="G37" s="11"/>
      <c r="H37" s="11"/>
      <c r="I37" s="185"/>
      <c r="J37" s="167"/>
      <c r="K37" s="11"/>
      <c r="L37" s="11"/>
      <c r="M37" s="185"/>
      <c r="N37" s="167"/>
      <c r="O37" s="11"/>
      <c r="P37" s="11"/>
      <c r="Q37" s="185"/>
      <c r="R37" s="148"/>
      <c r="S37" s="149"/>
      <c r="T37" s="11"/>
      <c r="U37" s="11"/>
      <c r="V37" s="185"/>
      <c r="W37" s="187"/>
      <c r="X37" s="11"/>
      <c r="Y37" s="11"/>
      <c r="Z37" s="185"/>
      <c r="AA37" s="187"/>
      <c r="AB37" s="11"/>
      <c r="AC37" s="11"/>
      <c r="AD37" s="185"/>
      <c r="AE37" s="187"/>
      <c r="AF37" s="11"/>
      <c r="AG37" s="11"/>
      <c r="AH37" s="185"/>
      <c r="AI37" s="148"/>
      <c r="AJ37" s="167"/>
      <c r="AK37" s="11"/>
      <c r="AL37" s="11"/>
      <c r="AM37" s="185"/>
      <c r="AN37" s="11"/>
      <c r="AO37" s="11"/>
      <c r="AP37" s="11"/>
      <c r="AQ37" s="185"/>
      <c r="AR37" s="187"/>
      <c r="AS37" s="11"/>
      <c r="AT37" s="11"/>
      <c r="AU37" s="185"/>
      <c r="AV37" s="187"/>
      <c r="AW37" s="11"/>
      <c r="AX37" s="11"/>
      <c r="AY37" s="185"/>
      <c r="AZ37" s="1"/>
    </row>
    <row r="38" spans="1:52" ht="12.75">
      <c r="A38" s="150"/>
      <c r="B38" s="152"/>
      <c r="C38" s="153"/>
      <c r="D38" s="153"/>
      <c r="E38" s="186"/>
      <c r="F38" s="152"/>
      <c r="G38" s="153"/>
      <c r="H38" s="153"/>
      <c r="I38" s="186"/>
      <c r="J38" s="177"/>
      <c r="K38" s="153"/>
      <c r="L38" s="153"/>
      <c r="M38" s="186"/>
      <c r="N38" s="177"/>
      <c r="O38" s="153"/>
      <c r="P38" s="153"/>
      <c r="Q38" s="186"/>
      <c r="R38" s="154"/>
      <c r="S38" s="152"/>
      <c r="T38" s="153"/>
      <c r="U38" s="153"/>
      <c r="V38" s="186"/>
      <c r="W38" s="188"/>
      <c r="X38" s="153"/>
      <c r="Y38" s="153"/>
      <c r="Z38" s="186"/>
      <c r="AA38" s="188"/>
      <c r="AB38" s="153"/>
      <c r="AC38" s="153"/>
      <c r="AD38" s="186"/>
      <c r="AE38" s="188"/>
      <c r="AF38" s="153"/>
      <c r="AG38" s="153"/>
      <c r="AH38" s="186"/>
      <c r="AI38" s="154"/>
      <c r="AJ38" s="177"/>
      <c r="AK38" s="153"/>
      <c r="AL38" s="153"/>
      <c r="AM38" s="186"/>
      <c r="AN38" s="153"/>
      <c r="AO38" s="153"/>
      <c r="AP38" s="153"/>
      <c r="AQ38" s="186"/>
      <c r="AR38" s="188"/>
      <c r="AS38" s="153"/>
      <c r="AT38" s="153"/>
      <c r="AU38" s="186"/>
      <c r="AV38" s="188"/>
      <c r="AW38" s="153"/>
      <c r="AX38" s="153"/>
      <c r="AY38" s="186"/>
      <c r="AZ38" s="22"/>
    </row>
  </sheetData>
  <sheetProtection selectLockedCells="1"/>
  <printOptions/>
  <pageMargins left="0.3937007874015748" right="0.3937007874015748" top="0.7874015748031497" bottom="0" header="0.5118110236220472" footer="0.5118110236220472"/>
  <pageSetup horizontalDpi="600" verticalDpi="600" orientation="landscape" paperSize="9"/>
</worksheet>
</file>

<file path=xl/worksheets/sheet8.xml><?xml version="1.0" encoding="utf-8"?>
<worksheet xmlns="http://schemas.openxmlformats.org/spreadsheetml/2006/main" xmlns:r="http://schemas.openxmlformats.org/officeDocument/2006/relationships">
  <sheetPr codeName="Sheet11"/>
  <dimension ref="A1:AZ54"/>
  <sheetViews>
    <sheetView zoomScalePageLayoutView="0" workbookViewId="0" topLeftCell="A2">
      <selection activeCell="G2" sqref="G2"/>
    </sheetView>
  </sheetViews>
  <sheetFormatPr defaultColWidth="8.8515625" defaultRowHeight="12.75"/>
  <cols>
    <col min="1" max="1" width="32.28125" style="0" customWidth="1"/>
    <col min="2" max="9" width="8.8515625" style="0" customWidth="1"/>
    <col min="10" max="10" width="16.140625" style="0" customWidth="1"/>
    <col min="11" max="22" width="8.8515625" style="0" customWidth="1"/>
  </cols>
  <sheetData>
    <row r="1" spans="1:52" ht="18">
      <c r="A1" s="190" t="s">
        <v>292</v>
      </c>
      <c r="B1" s="182"/>
      <c r="C1" s="182"/>
      <c r="D1" s="182"/>
      <c r="E1" s="182"/>
      <c r="F1" s="182"/>
      <c r="G1" s="182"/>
      <c r="H1" s="182"/>
      <c r="I1" s="182"/>
      <c r="J1" s="182" t="s">
        <v>273</v>
      </c>
      <c r="K1" s="155"/>
      <c r="L1" s="155"/>
      <c r="M1" s="155"/>
      <c r="N1" s="155"/>
      <c r="O1" s="155"/>
      <c r="P1" s="155"/>
      <c r="Q1" s="155"/>
      <c r="R1" s="155"/>
      <c r="S1" s="155"/>
      <c r="T1" s="155"/>
      <c r="U1" s="155"/>
      <c r="V1" s="155"/>
      <c r="W1" s="155"/>
      <c r="X1" s="155"/>
      <c r="Y1" s="155"/>
      <c r="Z1" s="155"/>
      <c r="AA1" s="155"/>
      <c r="AB1" s="155"/>
      <c r="AC1" s="155"/>
      <c r="AD1" s="155"/>
      <c r="AE1" s="155"/>
      <c r="AF1" s="155"/>
      <c r="AG1" s="155"/>
      <c r="AH1" s="155"/>
      <c r="AI1" s="155"/>
      <c r="AJ1" s="155"/>
      <c r="AK1" s="155"/>
      <c r="AL1" s="155"/>
      <c r="AM1" s="155"/>
      <c r="AN1" s="155"/>
      <c r="AO1" s="155"/>
      <c r="AP1" s="155"/>
      <c r="AQ1" s="155"/>
      <c r="AR1" s="155"/>
      <c r="AS1" s="155"/>
      <c r="AT1" s="155"/>
      <c r="AU1" s="155"/>
      <c r="AV1" s="155"/>
      <c r="AW1" s="155"/>
      <c r="AX1" s="155"/>
      <c r="AY1" s="155"/>
      <c r="AZ1" s="155"/>
    </row>
    <row r="2" spans="1:52" ht="12.75">
      <c r="A2" s="191" t="s">
        <v>293</v>
      </c>
      <c r="B2" s="180" t="str">
        <f>IF(Grödor!D$2&gt;1,VLOOKUP(Grödor!D$2,'TB grundkalkyler'!$BE$1:$CE$13,27),0)</f>
        <v>Höstvete</v>
      </c>
      <c r="C2" s="180" t="str">
        <f>IF(Grödor!E$2&gt;1,VLOOKUP(Grödor!E$2,'TB grundkalkyler'!$BE$1:$CE$13,27),0)</f>
        <v>Korn</v>
      </c>
      <c r="D2" s="180" t="str">
        <f>IF(Grödor!F$2&gt;1,VLOOKUP(Grödor!F$2,'TB grundkalkyler'!$BE$1:$CE$13,27),0)</f>
        <v>Lin</v>
      </c>
      <c r="E2" s="180">
        <f>IF(Grödor!G$2&gt;1,VLOOKUP(Grödor!G$2,'TB grundkalkyler'!$BE$1:$CE$13,27),0)</f>
        <v>0</v>
      </c>
      <c r="F2" s="180">
        <f>IF(Grödor!H$2&gt;1,VLOOKUP(Grödor!H$2,'TB grundkalkyler'!$BE$1:$CE$13,27),0)</f>
        <v>0</v>
      </c>
      <c r="G2" s="180">
        <f>IF(Grödor!I$2&gt;1,VLOOKUP(Grödor!I$2,'TB grundkalkyler'!$BE$1:$CE$13,27),0)</f>
        <v>0</v>
      </c>
      <c r="H2" s="180">
        <f>IF(Grödor!J$2&gt;1,VLOOKUP(Grödor!J$2,'TB grundkalkyler'!$BE$1:$CE$13,27),0)</f>
        <v>0</v>
      </c>
      <c r="I2" s="180">
        <f>IF(Grödor!K$2&gt;1,VLOOKUP(Grödor!K$2,'TB grundkalkyler'!$BE$1:$CE$13,27),0)</f>
        <v>0</v>
      </c>
      <c r="J2" s="182"/>
      <c r="K2" s="157"/>
      <c r="L2" s="155"/>
      <c r="M2" s="155"/>
      <c r="N2" s="157"/>
      <c r="O2" s="155"/>
      <c r="P2" s="155"/>
      <c r="Q2" s="157"/>
      <c r="R2" s="155"/>
      <c r="S2" s="155"/>
      <c r="T2" s="157"/>
      <c r="U2" s="155"/>
      <c r="V2" s="155"/>
      <c r="W2" s="157"/>
      <c r="X2" s="155"/>
      <c r="Y2" s="155"/>
      <c r="Z2" s="155"/>
      <c r="AA2" s="155"/>
      <c r="AB2" s="156"/>
      <c r="AC2" s="156"/>
      <c r="AD2" s="156"/>
      <c r="AE2" s="156"/>
      <c r="AF2" s="156"/>
      <c r="AG2" s="156"/>
      <c r="AH2" s="156"/>
      <c r="AI2" s="156"/>
      <c r="AJ2" s="156"/>
      <c r="AK2" s="156"/>
      <c r="AL2" s="156"/>
      <c r="AM2" s="156"/>
      <c r="AN2" s="156"/>
      <c r="AO2" s="156"/>
      <c r="AP2" s="156"/>
      <c r="AQ2" s="156"/>
      <c r="AR2" s="156"/>
      <c r="AS2" s="156"/>
      <c r="AT2" s="156"/>
      <c r="AU2" s="156"/>
      <c r="AV2" s="156"/>
      <c r="AW2" s="156"/>
      <c r="AX2" s="156"/>
      <c r="AY2" s="156"/>
      <c r="AZ2" s="156"/>
    </row>
    <row r="3" spans="1:52" ht="12.75">
      <c r="A3" s="191" t="s">
        <v>184</v>
      </c>
      <c r="B3" s="181">
        <f>Grödor!D3</f>
        <v>0</v>
      </c>
      <c r="C3" s="181">
        <f>Grödor!E3</f>
        <v>0</v>
      </c>
      <c r="D3" s="181">
        <f>Grödor!F3</f>
        <v>0</v>
      </c>
      <c r="E3" s="181">
        <f>Grödor!G3</f>
        <v>0</v>
      </c>
      <c r="F3" s="181">
        <f>Grödor!H3</f>
        <v>0</v>
      </c>
      <c r="G3" s="181">
        <f>Grödor!I3</f>
        <v>0</v>
      </c>
      <c r="H3" s="181">
        <f>Grödor!J3</f>
        <v>0</v>
      </c>
      <c r="I3" s="181">
        <f>Grödor!K3</f>
        <v>0</v>
      </c>
      <c r="J3" s="182"/>
      <c r="K3" s="157"/>
      <c r="L3" s="155"/>
      <c r="M3" s="155"/>
      <c r="N3" s="157"/>
      <c r="O3" s="155"/>
      <c r="P3" s="155"/>
      <c r="Q3" s="157"/>
      <c r="R3" s="155"/>
      <c r="S3" s="155"/>
      <c r="T3" s="157"/>
      <c r="U3" s="155"/>
      <c r="V3" s="155"/>
      <c r="W3" s="157"/>
      <c r="X3" s="155"/>
      <c r="Y3" s="155"/>
      <c r="Z3" s="155"/>
      <c r="AA3" s="155"/>
      <c r="AB3" s="156"/>
      <c r="AC3" s="156"/>
      <c r="AD3" s="156"/>
      <c r="AE3" s="156"/>
      <c r="AF3" s="156"/>
      <c r="AG3" s="156"/>
      <c r="AH3" s="156"/>
      <c r="AI3" s="156"/>
      <c r="AJ3" s="156"/>
      <c r="AK3" s="156"/>
      <c r="AL3" s="156"/>
      <c r="AM3" s="156"/>
      <c r="AN3" s="156"/>
      <c r="AO3" s="156"/>
      <c r="AP3" s="156"/>
      <c r="AQ3" s="156"/>
      <c r="AR3" s="156"/>
      <c r="AS3" s="156"/>
      <c r="AT3" s="156"/>
      <c r="AU3" s="156"/>
      <c r="AV3" s="156"/>
      <c r="AW3" s="156"/>
      <c r="AX3" s="156"/>
      <c r="AY3" s="156"/>
      <c r="AZ3" s="156"/>
    </row>
    <row r="4" spans="1:52" ht="12.75">
      <c r="A4" s="191" t="s">
        <v>177</v>
      </c>
      <c r="B4" s="181">
        <f>Grödor!D4</f>
        <v>100</v>
      </c>
      <c r="C4" s="181">
        <f>Grödor!E4</f>
        <v>100</v>
      </c>
      <c r="D4" s="181">
        <f>Grödor!F4</f>
        <v>100</v>
      </c>
      <c r="E4" s="181">
        <f>Grödor!G4</f>
        <v>0</v>
      </c>
      <c r="F4" s="181">
        <f>Grödor!H4</f>
        <v>0</v>
      </c>
      <c r="G4" s="181">
        <f>Grödor!I4</f>
        <v>0</v>
      </c>
      <c r="H4" s="181">
        <f>Grödor!J4</f>
        <v>0</v>
      </c>
      <c r="I4" s="181">
        <f>Grödor!K4</f>
        <v>0</v>
      </c>
      <c r="J4" s="181">
        <f>SUM(B4:I4)</f>
        <v>300</v>
      </c>
      <c r="K4" s="157"/>
      <c r="L4" s="155"/>
      <c r="M4" s="155"/>
      <c r="N4" s="157"/>
      <c r="O4" s="155"/>
      <c r="P4" s="155"/>
      <c r="Q4" s="157"/>
      <c r="R4" s="155"/>
      <c r="S4" s="155"/>
      <c r="T4" s="157"/>
      <c r="U4" s="155"/>
      <c r="V4" s="155"/>
      <c r="W4" s="155"/>
      <c r="X4" s="155"/>
      <c r="Y4" s="155"/>
      <c r="Z4" s="155"/>
      <c r="AA4" s="155"/>
      <c r="AB4" s="156"/>
      <c r="AC4" s="156"/>
      <c r="AD4" s="156"/>
      <c r="AE4" s="156"/>
      <c r="AF4" s="156"/>
      <c r="AG4" s="156"/>
      <c r="AH4" s="156"/>
      <c r="AI4" s="156"/>
      <c r="AJ4" s="156"/>
      <c r="AK4" s="156"/>
      <c r="AL4" s="156"/>
      <c r="AM4" s="156"/>
      <c r="AN4" s="156"/>
      <c r="AO4" s="156"/>
      <c r="AP4" s="156"/>
      <c r="AQ4" s="156"/>
      <c r="AR4" s="156"/>
      <c r="AS4" s="156"/>
      <c r="AT4" s="156"/>
      <c r="AU4" s="156"/>
      <c r="AV4" s="156"/>
      <c r="AW4" s="156"/>
      <c r="AX4" s="156"/>
      <c r="AY4" s="156"/>
      <c r="AZ4" s="156"/>
    </row>
    <row r="5" spans="1:52" ht="12.75">
      <c r="A5" s="192" t="s">
        <v>294</v>
      </c>
      <c r="B5" s="193"/>
      <c r="C5" s="193"/>
      <c r="D5" s="193"/>
      <c r="E5" s="193"/>
      <c r="F5" s="193"/>
      <c r="G5" s="193"/>
      <c r="H5" s="193"/>
      <c r="I5" s="193"/>
      <c r="J5" s="194"/>
      <c r="K5" s="155"/>
      <c r="L5" s="155"/>
      <c r="M5" s="156"/>
      <c r="N5" s="155"/>
      <c r="O5" s="155"/>
      <c r="P5" s="156"/>
      <c r="Q5" s="155"/>
      <c r="R5" s="155"/>
      <c r="S5" s="156"/>
      <c r="T5" s="155"/>
      <c r="U5" s="155"/>
      <c r="V5" s="156"/>
      <c r="W5" s="155"/>
      <c r="X5" s="155"/>
      <c r="Y5" s="155"/>
      <c r="Z5" s="155"/>
      <c r="AA5" s="155"/>
      <c r="AB5" s="156"/>
      <c r="AC5" s="156"/>
      <c r="AD5" s="156"/>
      <c r="AE5" s="156"/>
      <c r="AF5" s="156"/>
      <c r="AG5" s="156"/>
      <c r="AH5" s="156"/>
      <c r="AI5" s="156"/>
      <c r="AJ5" s="156"/>
      <c r="AK5" s="156"/>
      <c r="AL5" s="156"/>
      <c r="AM5" s="156"/>
      <c r="AN5" s="156"/>
      <c r="AO5" s="156"/>
      <c r="AP5" s="156"/>
      <c r="AQ5" s="156"/>
      <c r="AR5" s="156"/>
      <c r="AS5" s="156"/>
      <c r="AT5" s="156"/>
      <c r="AU5" s="156"/>
      <c r="AV5" s="156"/>
      <c r="AW5" s="156"/>
      <c r="AX5" s="156"/>
      <c r="AY5" s="156"/>
      <c r="AZ5" s="156"/>
    </row>
    <row r="6" spans="1:52" ht="12.75">
      <c r="A6" s="195" t="s">
        <v>297</v>
      </c>
      <c r="B6" s="181">
        <f>IF(Grödor!D$2&gt;1,VLOOKUP(Grödor!D$2,'TB grundkalkyler'!$BE$1:$CE$13,2),0)</f>
        <v>6300</v>
      </c>
      <c r="C6" s="181">
        <f>IF(Grödor!E$2&gt;1,VLOOKUP(Grödor!E$2,'TB grundkalkyler'!$BE$1:$CE$13,2),0)</f>
        <v>4680</v>
      </c>
      <c r="D6" s="181">
        <f>IF(Grödor!F$2&gt;1,VLOOKUP(Grödor!F$2,'TB grundkalkyler'!$BE$1:$CE$13,2),0)</f>
        <v>3800</v>
      </c>
      <c r="E6" s="181">
        <f>IF(Grödor!G$2&gt;1,VLOOKUP(Grödor!G$2,'TB grundkalkyler'!$BE$1:$CE$13,2),0)</f>
        <v>0</v>
      </c>
      <c r="F6" s="181">
        <f>IF(Grödor!H$2&gt;1,VLOOKUP(Grödor!H$2,'TB grundkalkyler'!$BE$1:$CE$13,2),0)</f>
        <v>0</v>
      </c>
      <c r="G6" s="181">
        <f>IF(Grödor!I$2&gt;1,VLOOKUP(Grödor!I$2,'TB grundkalkyler'!$BE$1:$CE$13,2),0)</f>
        <v>0</v>
      </c>
      <c r="H6" s="181">
        <f>IF(Grödor!J$2&gt;1,VLOOKUP(Grödor!J$2,'TB grundkalkyler'!$BE$1:$CE$13,2),0)</f>
        <v>0</v>
      </c>
      <c r="I6" s="181">
        <f>IF(Grödor!K$2&gt;1,VLOOKUP(Grödor!K$2,'TB grundkalkyler'!$BE$1:$CE$13,2),0)</f>
        <v>0</v>
      </c>
      <c r="J6" s="181"/>
      <c r="K6" s="9"/>
      <c r="L6" s="9"/>
      <c r="M6" s="158"/>
      <c r="N6" s="9"/>
      <c r="O6" s="9"/>
      <c r="P6" s="158"/>
      <c r="Q6" s="9"/>
      <c r="R6" s="9"/>
      <c r="S6" s="158"/>
      <c r="T6" s="9"/>
      <c r="U6" s="9"/>
      <c r="V6" s="158"/>
      <c r="W6" s="155"/>
      <c r="X6" s="155"/>
      <c r="Y6" s="155"/>
      <c r="Z6" s="155"/>
      <c r="AA6" s="155"/>
      <c r="AB6" s="156"/>
      <c r="AC6" s="156"/>
      <c r="AD6" s="156"/>
      <c r="AE6" s="156"/>
      <c r="AF6" s="156"/>
      <c r="AG6" s="156"/>
      <c r="AH6" s="156"/>
      <c r="AI6" s="156"/>
      <c r="AJ6" s="156"/>
      <c r="AK6" s="156"/>
      <c r="AL6" s="156"/>
      <c r="AM6" s="156"/>
      <c r="AN6" s="156"/>
      <c r="AO6" s="156"/>
      <c r="AP6" s="156"/>
      <c r="AQ6" s="156"/>
      <c r="AR6" s="156"/>
      <c r="AS6" s="156"/>
      <c r="AT6" s="156"/>
      <c r="AU6" s="156"/>
      <c r="AV6" s="156"/>
      <c r="AW6" s="156"/>
      <c r="AX6" s="156"/>
      <c r="AY6" s="156"/>
      <c r="AZ6" s="156"/>
    </row>
    <row r="7" spans="1:52" ht="12.75">
      <c r="A7" s="195" t="s">
        <v>298</v>
      </c>
      <c r="B7" s="181">
        <f>IF(Grödor!D$2&gt;1,VLOOKUP(Grödor!D$2,'TB grundkalkyler'!$BE$1:$CE$13,3),0)</f>
        <v>2620</v>
      </c>
      <c r="C7" s="181">
        <f>IF(Grödor!E$2&gt;1,VLOOKUP(Grödor!E$2,'TB grundkalkyler'!$BE$1:$CE$13,3),0)</f>
        <v>2620</v>
      </c>
      <c r="D7" s="181">
        <f>IF(Grödor!F$2&gt;1,VLOOKUP(Grödor!F$2,'TB grundkalkyler'!$BE$1:$CE$13,3),0)</f>
        <v>2620</v>
      </c>
      <c r="E7" s="181">
        <f>IF(Grödor!G$2&gt;1,VLOOKUP(Grödor!G$2,'TB grundkalkyler'!$BE$1:$CE$13,3),0)</f>
        <v>0</v>
      </c>
      <c r="F7" s="181">
        <f>IF(Grödor!H$2&gt;1,VLOOKUP(Grödor!H$2,'TB grundkalkyler'!$BE$1:$CE$13,3),0)</f>
        <v>0</v>
      </c>
      <c r="G7" s="181">
        <f>IF(Grödor!I$2&gt;1,VLOOKUP(Grödor!I$2,'TB grundkalkyler'!$BE$1:$CE$13,3),0)</f>
        <v>0</v>
      </c>
      <c r="H7" s="181">
        <f>IF(Grödor!J$2&gt;1,VLOOKUP(Grödor!J$2,'TB grundkalkyler'!$BE$1:$CE$13,3),0)</f>
        <v>0</v>
      </c>
      <c r="I7" s="181">
        <f>IF(Grödor!K$2&gt;1,VLOOKUP(Grödor!K$2,'TB grundkalkyler'!$BE$1:$CE$13,3),0)</f>
        <v>0</v>
      </c>
      <c r="J7" s="181"/>
      <c r="K7" s="9"/>
      <c r="L7" s="9"/>
      <c r="M7" s="158"/>
      <c r="N7" s="9"/>
      <c r="O7" s="9"/>
      <c r="P7" s="158"/>
      <c r="Q7" s="9"/>
      <c r="R7" s="9"/>
      <c r="S7" s="158"/>
      <c r="T7" s="9"/>
      <c r="U7" s="9"/>
      <c r="V7" s="158"/>
      <c r="W7" s="155"/>
      <c r="X7" s="155"/>
      <c r="Y7" s="155"/>
      <c r="Z7" s="155"/>
      <c r="AA7" s="155"/>
      <c r="AB7" s="156"/>
      <c r="AC7" s="156"/>
      <c r="AD7" s="156"/>
      <c r="AE7" s="156"/>
      <c r="AF7" s="156"/>
      <c r="AG7" s="156"/>
      <c r="AH7" s="156"/>
      <c r="AI7" s="156"/>
      <c r="AJ7" s="156"/>
      <c r="AK7" s="156"/>
      <c r="AL7" s="156"/>
      <c r="AM7" s="156"/>
      <c r="AN7" s="156"/>
      <c r="AO7" s="156"/>
      <c r="AP7" s="156"/>
      <c r="AQ7" s="156"/>
      <c r="AR7" s="156"/>
      <c r="AS7" s="156"/>
      <c r="AT7" s="156"/>
      <c r="AU7" s="156"/>
      <c r="AV7" s="156"/>
      <c r="AW7" s="156"/>
      <c r="AX7" s="156"/>
      <c r="AY7" s="156"/>
      <c r="AZ7" s="156"/>
    </row>
    <row r="8" spans="1:52" ht="12.75">
      <c r="A8" s="195" t="s">
        <v>321</v>
      </c>
      <c r="B8" s="181">
        <f>IF(Grödor!D$2&gt;1,VLOOKUP(Grödor!D$2,'TB grundkalkyler'!$BE$1:$CE$13,4),0)</f>
        <v>0</v>
      </c>
      <c r="C8" s="181">
        <f>IF(Grödor!E$2&gt;1,VLOOKUP(Grödor!E$2,'TB grundkalkyler'!$BE$1:$CE$13,4),0)</f>
        <v>0</v>
      </c>
      <c r="D8" s="181">
        <f>IF(Grödor!F$2&gt;1,VLOOKUP(Grödor!F$2,'TB grundkalkyler'!$BE$1:$CE$13,4),0)</f>
        <v>0</v>
      </c>
      <c r="E8" s="181">
        <f>IF(Grödor!G$2&gt;1,VLOOKUP(Grödor!G$2,'TB grundkalkyler'!$BE$1:$CE$13,4),0)</f>
        <v>0</v>
      </c>
      <c r="F8" s="181">
        <f>IF(Grödor!H$2&gt;1,VLOOKUP(Grödor!H$2,'TB grundkalkyler'!$BE$1:$CE$13,4),0)</f>
        <v>0</v>
      </c>
      <c r="G8" s="181">
        <f>IF(Grödor!I$2&gt;1,VLOOKUP(Grödor!I$2,'TB grundkalkyler'!$BE$1:$CE$13,4),0)</f>
        <v>0</v>
      </c>
      <c r="H8" s="181">
        <f>IF(Grödor!J$2&gt;1,VLOOKUP(Grödor!J$2,'TB grundkalkyler'!$BE$1:$CE$13,4),0)</f>
        <v>0</v>
      </c>
      <c r="I8" s="181">
        <f>IF(Grödor!K$2&gt;1,VLOOKUP(Grödor!K$2,'TB grundkalkyler'!$BE$1:$CE$13,4),0)</f>
        <v>0</v>
      </c>
      <c r="J8" s="181"/>
      <c r="K8" s="9"/>
      <c r="L8" s="9"/>
      <c r="M8" s="158"/>
      <c r="N8" s="9"/>
      <c r="O8" s="9"/>
      <c r="P8" s="158"/>
      <c r="Q8" s="9"/>
      <c r="R8" s="9"/>
      <c r="S8" s="158"/>
      <c r="T8" s="9"/>
      <c r="U8" s="9"/>
      <c r="V8" s="158"/>
      <c r="W8" s="155"/>
      <c r="X8" s="155"/>
      <c r="Y8" s="155"/>
      <c r="Z8" s="155"/>
      <c r="AA8" s="155"/>
      <c r="AB8" s="156"/>
      <c r="AC8" s="156"/>
      <c r="AD8" s="156"/>
      <c r="AE8" s="156"/>
      <c r="AF8" s="156"/>
      <c r="AG8" s="156"/>
      <c r="AH8" s="156"/>
      <c r="AI8" s="156"/>
      <c r="AJ8" s="156"/>
      <c r="AK8" s="156"/>
      <c r="AL8" s="156"/>
      <c r="AM8" s="156"/>
      <c r="AN8" s="156"/>
      <c r="AO8" s="156"/>
      <c r="AP8" s="156"/>
      <c r="AQ8" s="156"/>
      <c r="AR8" s="156"/>
      <c r="AS8" s="156"/>
      <c r="AT8" s="156"/>
      <c r="AU8" s="156"/>
      <c r="AV8" s="156"/>
      <c r="AW8" s="156"/>
      <c r="AX8" s="156"/>
      <c r="AY8" s="156"/>
      <c r="AZ8" s="156"/>
    </row>
    <row r="9" spans="1:52" ht="12.75">
      <c r="A9" s="195" t="s">
        <v>353</v>
      </c>
      <c r="B9" s="198"/>
      <c r="C9" s="198"/>
      <c r="D9" s="198"/>
      <c r="E9" s="198"/>
      <c r="F9" s="198"/>
      <c r="G9" s="198"/>
      <c r="H9" s="198"/>
      <c r="I9" s="198"/>
      <c r="J9" s="196"/>
      <c r="K9" s="9"/>
      <c r="L9" s="9"/>
      <c r="M9" s="158"/>
      <c r="N9" s="9"/>
      <c r="O9" s="9"/>
      <c r="P9" s="158"/>
      <c r="Q9" s="9"/>
      <c r="R9" s="9"/>
      <c r="S9" s="158"/>
      <c r="T9" s="9"/>
      <c r="U9" s="9"/>
      <c r="V9" s="158"/>
      <c r="W9" s="155"/>
      <c r="X9" s="155"/>
      <c r="Y9" s="155"/>
      <c r="Z9" s="155"/>
      <c r="AA9" s="155"/>
      <c r="AB9" s="156"/>
      <c r="AC9" s="156"/>
      <c r="AD9" s="156"/>
      <c r="AE9" s="156"/>
      <c r="AF9" s="156"/>
      <c r="AG9" s="156"/>
      <c r="AH9" s="156"/>
      <c r="AI9" s="156"/>
      <c r="AJ9" s="156"/>
      <c r="AK9" s="156"/>
      <c r="AL9" s="156"/>
      <c r="AM9" s="156"/>
      <c r="AN9" s="156"/>
      <c r="AO9" s="156"/>
      <c r="AP9" s="156"/>
      <c r="AQ9" s="156"/>
      <c r="AR9" s="156"/>
      <c r="AS9" s="156"/>
      <c r="AT9" s="156"/>
      <c r="AU9" s="156"/>
      <c r="AV9" s="156"/>
      <c r="AW9" s="156"/>
      <c r="AX9" s="156"/>
      <c r="AY9" s="156"/>
      <c r="AZ9" s="156"/>
    </row>
    <row r="10" spans="1:52" ht="12.75">
      <c r="A10" s="197" t="s">
        <v>273</v>
      </c>
      <c r="B10" s="181">
        <f>SUM(B6:B9)</f>
        <v>8920</v>
      </c>
      <c r="C10" s="181">
        <f aca="true" t="shared" si="0" ref="C10:I10">SUM(C6:C9)</f>
        <v>7300</v>
      </c>
      <c r="D10" s="181">
        <f t="shared" si="0"/>
        <v>6420</v>
      </c>
      <c r="E10" s="181">
        <f t="shared" si="0"/>
        <v>0</v>
      </c>
      <c r="F10" s="181">
        <f t="shared" si="0"/>
        <v>0</v>
      </c>
      <c r="G10" s="181">
        <f t="shared" si="0"/>
        <v>0</v>
      </c>
      <c r="H10" s="181">
        <f t="shared" si="0"/>
        <v>0</v>
      </c>
      <c r="I10" s="181">
        <f t="shared" si="0"/>
        <v>0</v>
      </c>
      <c r="J10" s="181"/>
      <c r="K10" s="9"/>
      <c r="L10" s="9"/>
      <c r="M10" s="158"/>
      <c r="N10" s="9"/>
      <c r="O10" s="9"/>
      <c r="P10" s="158"/>
      <c r="Q10" s="9"/>
      <c r="R10" s="9"/>
      <c r="S10" s="158"/>
      <c r="T10" s="9"/>
      <c r="U10" s="9"/>
      <c r="V10" s="158"/>
      <c r="W10" s="155"/>
      <c r="X10" s="155"/>
      <c r="Y10" s="155"/>
      <c r="Z10" s="155"/>
      <c r="AA10" s="155"/>
      <c r="AB10" s="156"/>
      <c r="AC10" s="156"/>
      <c r="AD10" s="156"/>
      <c r="AE10" s="156"/>
      <c r="AF10" s="156"/>
      <c r="AG10" s="156"/>
      <c r="AH10" s="156"/>
      <c r="AI10" s="156"/>
      <c r="AJ10" s="156"/>
      <c r="AK10" s="156"/>
      <c r="AL10" s="156"/>
      <c r="AM10" s="156"/>
      <c r="AN10" s="156"/>
      <c r="AO10" s="156"/>
      <c r="AP10" s="156"/>
      <c r="AQ10" s="156"/>
      <c r="AR10" s="156"/>
      <c r="AS10" s="156"/>
      <c r="AT10" s="156"/>
      <c r="AU10" s="156"/>
      <c r="AV10" s="156"/>
      <c r="AW10" s="156"/>
      <c r="AX10" s="156"/>
      <c r="AY10" s="156"/>
      <c r="AZ10" s="156"/>
    </row>
    <row r="11" spans="1:52" ht="12.75">
      <c r="A11" s="192" t="s">
        <v>299</v>
      </c>
      <c r="B11" s="181"/>
      <c r="C11" s="181"/>
      <c r="D11" s="181"/>
      <c r="E11" s="181"/>
      <c r="F11" s="181"/>
      <c r="G11" s="181"/>
      <c r="H11" s="181"/>
      <c r="I11" s="181"/>
      <c r="J11" s="181"/>
      <c r="K11" s="9"/>
      <c r="L11" s="9"/>
      <c r="M11" s="158"/>
      <c r="N11" s="9"/>
      <c r="O11" s="9"/>
      <c r="P11" s="158"/>
      <c r="Q11" s="9"/>
      <c r="R11" s="9"/>
      <c r="S11" s="158"/>
      <c r="T11" s="9"/>
      <c r="U11" s="9"/>
      <c r="V11" s="158"/>
      <c r="W11" s="155"/>
      <c r="X11" s="155"/>
      <c r="Y11" s="155"/>
      <c r="Z11" s="155"/>
      <c r="AA11" s="155"/>
      <c r="AB11" s="155"/>
      <c r="AC11" s="155"/>
      <c r="AD11" s="155"/>
      <c r="AE11" s="155"/>
      <c r="AF11" s="155"/>
      <c r="AG11" s="155"/>
      <c r="AH11" s="155"/>
      <c r="AI11" s="155"/>
      <c r="AJ11" s="155"/>
      <c r="AK11" s="155"/>
      <c r="AL11" s="155"/>
      <c r="AM11" s="155"/>
      <c r="AN11" s="155"/>
      <c r="AO11" s="155"/>
      <c r="AP11" s="155"/>
      <c r="AQ11" s="155"/>
      <c r="AR11" s="155"/>
      <c r="AS11" s="155"/>
      <c r="AT11" s="155"/>
      <c r="AU11" s="155"/>
      <c r="AV11" s="155"/>
      <c r="AW11" s="155"/>
      <c r="AX11" s="155"/>
      <c r="AY11" s="155"/>
      <c r="AZ11" s="155"/>
    </row>
    <row r="12" spans="1:52" ht="12.75">
      <c r="A12" s="195" t="str">
        <f>'TB grundkalkyler'!A11</f>
        <v>Utsäde</v>
      </c>
      <c r="B12" s="181">
        <f>IF(Grödor!D$2&gt;1,VLOOKUP(Grödor!D$2,'TB grundkalkyler'!$BE$1:$CE$13,7),0)</f>
        <v>620</v>
      </c>
      <c r="C12" s="181">
        <f>IF(Grödor!E$2&gt;1,VLOOKUP(Grödor!E$2,'TB grundkalkyler'!$BE$1:$CE$13,7),0)</f>
        <v>558</v>
      </c>
      <c r="D12" s="181">
        <f>IF(Grödor!F$2&gt;1,VLOOKUP(Grödor!F$2,'TB grundkalkyler'!$BE$1:$CE$13,7),0)</f>
        <v>357.5</v>
      </c>
      <c r="E12" s="181">
        <f>IF(Grödor!G$2&gt;1,VLOOKUP(Grödor!G$2,'TB grundkalkyler'!$BE$1:$CE$13,7),0)</f>
        <v>0</v>
      </c>
      <c r="F12" s="181">
        <f>IF(Grödor!H$2&gt;1,VLOOKUP(Grödor!H$2,'TB grundkalkyler'!$BE$1:$CE$13,7),0)</f>
        <v>0</v>
      </c>
      <c r="G12" s="181">
        <f>IF(Grödor!I$2&gt;1,VLOOKUP(Grödor!I$2,'TB grundkalkyler'!$BE$1:$CE$13,7),0)</f>
        <v>0</v>
      </c>
      <c r="H12" s="181">
        <f>IF(Grödor!J$2&gt;1,VLOOKUP(Grödor!J$2,'TB grundkalkyler'!$BE$1:$CE$13,7),0)</f>
        <v>0</v>
      </c>
      <c r="I12" s="181">
        <f>IF(Grödor!K$2&gt;1,VLOOKUP(Grödor!K$2,'TB grundkalkyler'!$BE$1:$CE$13,7),0)</f>
        <v>0</v>
      </c>
      <c r="J12" s="181"/>
      <c r="K12" s="9"/>
      <c r="L12" s="9"/>
      <c r="M12" s="158"/>
      <c r="N12" s="9"/>
      <c r="O12" s="9"/>
      <c r="P12" s="158"/>
      <c r="Q12" s="9"/>
      <c r="R12" s="9"/>
      <c r="S12" s="158"/>
      <c r="T12" s="9"/>
      <c r="U12" s="9"/>
      <c r="V12" s="158"/>
      <c r="W12" s="155"/>
      <c r="X12" s="155"/>
      <c r="Y12" s="155"/>
      <c r="Z12" s="155"/>
      <c r="AA12" s="155"/>
      <c r="AB12" s="155"/>
      <c r="AC12" s="155"/>
      <c r="AD12" s="155"/>
      <c r="AE12" s="155"/>
      <c r="AF12" s="155"/>
      <c r="AG12" s="155"/>
      <c r="AH12" s="155"/>
      <c r="AI12" s="155"/>
      <c r="AJ12" s="155"/>
      <c r="AK12" s="155"/>
      <c r="AL12" s="155"/>
      <c r="AM12" s="155"/>
      <c r="AN12" s="155"/>
      <c r="AO12" s="155"/>
      <c r="AP12" s="155"/>
      <c r="AQ12" s="155"/>
      <c r="AR12" s="155"/>
      <c r="AS12" s="155"/>
      <c r="AT12" s="155"/>
      <c r="AU12" s="155"/>
      <c r="AV12" s="155"/>
      <c r="AW12" s="155"/>
      <c r="AX12" s="155"/>
      <c r="AY12" s="155"/>
      <c r="AZ12" s="155"/>
    </row>
    <row r="13" spans="1:52" ht="12.75">
      <c r="A13" s="195" t="str">
        <f>'TB grundkalkyler'!A12</f>
        <v>Gödning</v>
      </c>
      <c r="B13" s="181">
        <f>IF(Grödor!D$2&gt;1,VLOOKUP(Grödor!D$2,'TB grundkalkyler'!$BE$1:$CE$13,8),0)</f>
        <v>606</v>
      </c>
      <c r="C13" s="181">
        <f>IF(Grödor!E$2&gt;1,VLOOKUP(Grödor!E$2,'TB grundkalkyler'!$BE$1:$CE$13,8),0)</f>
        <v>944</v>
      </c>
      <c r="D13" s="181">
        <f>IF(Grödor!F$2&gt;1,VLOOKUP(Grödor!F$2,'TB grundkalkyler'!$BE$1:$CE$13,8),0)</f>
        <v>561.6</v>
      </c>
      <c r="E13" s="181">
        <f>IF(Grödor!G$2&gt;1,VLOOKUP(Grödor!G$2,'TB grundkalkyler'!$BE$1:$CE$13,8),0)</f>
        <v>0</v>
      </c>
      <c r="F13" s="181">
        <f>IF(Grödor!H$2&gt;1,VLOOKUP(Grödor!H$2,'TB grundkalkyler'!$BE$1:$CE$13,8),0)</f>
        <v>0</v>
      </c>
      <c r="G13" s="181">
        <f>IF(Grödor!I$2&gt;1,VLOOKUP(Grödor!I$2,'TB grundkalkyler'!$BE$1:$CE$13,8),0)</f>
        <v>0</v>
      </c>
      <c r="H13" s="181">
        <f>IF(Grödor!J$2&gt;1,VLOOKUP(Grödor!J$2,'TB grundkalkyler'!$BE$1:$CE$13,8),0)</f>
        <v>0</v>
      </c>
      <c r="I13" s="181">
        <f>IF(Grödor!K$2&gt;1,VLOOKUP(Grödor!K$2,'TB grundkalkyler'!$BE$1:$CE$13,8),0)</f>
        <v>0</v>
      </c>
      <c r="J13" s="181"/>
      <c r="K13" s="9"/>
      <c r="L13" s="9"/>
      <c r="M13" s="158"/>
      <c r="N13" s="9"/>
      <c r="O13" s="9"/>
      <c r="P13" s="158"/>
      <c r="Q13" s="9"/>
      <c r="R13" s="9"/>
      <c r="S13" s="158"/>
      <c r="T13" s="9"/>
      <c r="U13" s="9"/>
      <c r="V13" s="158"/>
      <c r="W13" s="155"/>
      <c r="X13" s="155"/>
      <c r="Y13" s="155"/>
      <c r="Z13" s="155"/>
      <c r="AA13" s="155"/>
      <c r="AB13" s="155"/>
      <c r="AC13" s="155"/>
      <c r="AD13" s="155"/>
      <c r="AE13" s="155"/>
      <c r="AF13" s="155"/>
      <c r="AG13" s="155"/>
      <c r="AH13" s="155"/>
      <c r="AI13" s="155"/>
      <c r="AJ13" s="155"/>
      <c r="AK13" s="155"/>
      <c r="AL13" s="155"/>
      <c r="AM13" s="155"/>
      <c r="AN13" s="155"/>
      <c r="AO13" s="155"/>
      <c r="AP13" s="155"/>
      <c r="AQ13" s="155"/>
      <c r="AR13" s="155"/>
      <c r="AS13" s="155"/>
      <c r="AT13" s="155"/>
      <c r="AU13" s="155"/>
      <c r="AV13" s="155"/>
      <c r="AW13" s="155"/>
      <c r="AX13" s="155"/>
      <c r="AY13" s="155"/>
      <c r="AZ13" s="155"/>
    </row>
    <row r="14" spans="1:52" ht="12.75">
      <c r="A14" s="195" t="str">
        <f>'TB grundkalkyler'!A13</f>
        <v>Gödning</v>
      </c>
      <c r="B14" s="181">
        <f>IF(Grödor!D$2&gt;1,VLOOKUP(Grödor!D$2,'TB grundkalkyler'!$BE$1:$CE$13,9),0)</f>
        <v>342.5</v>
      </c>
      <c r="C14" s="181">
        <f>IF(Grödor!E$2&gt;1,VLOOKUP(Grödor!E$2,'TB grundkalkyler'!$BE$1:$CE$13,9),0)</f>
        <v>0</v>
      </c>
      <c r="D14" s="181">
        <f>IF(Grödor!F$2&gt;1,VLOOKUP(Grödor!F$2,'TB grundkalkyler'!$BE$1:$CE$13,9),0)</f>
        <v>212.29999999999998</v>
      </c>
      <c r="E14" s="181">
        <f>IF(Grödor!G$2&gt;1,VLOOKUP(Grödor!G$2,'TB grundkalkyler'!$BE$1:$CE$13,9),0)</f>
        <v>0</v>
      </c>
      <c r="F14" s="181">
        <f>IF(Grödor!H$2&gt;1,VLOOKUP(Grödor!H$2,'TB grundkalkyler'!$BE$1:$CE$13,9),0)</f>
        <v>0</v>
      </c>
      <c r="G14" s="181">
        <f>IF(Grödor!I$2&gt;1,VLOOKUP(Grödor!I$2,'TB grundkalkyler'!$BE$1:$CE$13,9),0)</f>
        <v>0</v>
      </c>
      <c r="H14" s="181">
        <f>IF(Grödor!J$2&gt;1,VLOOKUP(Grödor!J$2,'TB grundkalkyler'!$BE$1:$CE$13,9),0)</f>
        <v>0</v>
      </c>
      <c r="I14" s="181">
        <f>IF(Grödor!K$2&gt;1,VLOOKUP(Grödor!K$2,'TB grundkalkyler'!$BE$1:$CE$13,9),0)</f>
        <v>0</v>
      </c>
      <c r="J14" s="181"/>
      <c r="K14" s="9"/>
      <c r="L14" s="9"/>
      <c r="M14" s="158"/>
      <c r="N14" s="9"/>
      <c r="O14" s="9"/>
      <c r="P14" s="158"/>
      <c r="Q14" s="9"/>
      <c r="R14" s="9"/>
      <c r="S14" s="158"/>
      <c r="T14" s="9"/>
      <c r="U14" s="9"/>
      <c r="V14" s="158"/>
      <c r="W14" s="155"/>
      <c r="X14" s="155"/>
      <c r="Y14" s="155"/>
      <c r="Z14" s="155"/>
      <c r="AA14" s="155"/>
      <c r="AB14" s="155"/>
      <c r="AC14" s="155"/>
      <c r="AD14" s="155"/>
      <c r="AE14" s="155"/>
      <c r="AF14" s="155"/>
      <c r="AG14" s="155"/>
      <c r="AH14" s="155"/>
      <c r="AI14" s="155"/>
      <c r="AJ14" s="155"/>
      <c r="AK14" s="155"/>
      <c r="AL14" s="155"/>
      <c r="AM14" s="155"/>
      <c r="AN14" s="155"/>
      <c r="AO14" s="155"/>
      <c r="AP14" s="155"/>
      <c r="AQ14" s="155"/>
      <c r="AR14" s="155"/>
      <c r="AS14" s="155"/>
      <c r="AT14" s="155"/>
      <c r="AU14" s="155"/>
      <c r="AV14" s="155"/>
      <c r="AW14" s="155"/>
      <c r="AX14" s="155"/>
      <c r="AY14" s="155"/>
      <c r="AZ14" s="155"/>
    </row>
    <row r="15" spans="1:52" ht="12.75">
      <c r="A15" s="195" t="str">
        <f>'TB grundkalkyler'!A14</f>
        <v>Gödning</v>
      </c>
      <c r="B15" s="181">
        <f>IF(Grödor!D$2&gt;1,VLOOKUP(Grödor!D$2,'TB grundkalkyler'!$BE$1:$CE$13,10),0)</f>
        <v>270.2</v>
      </c>
      <c r="C15" s="181">
        <f>IF(Grödor!E$2&gt;1,VLOOKUP(Grödor!E$2,'TB grundkalkyler'!$BE$1:$CE$13,10),0)</f>
        <v>0</v>
      </c>
      <c r="D15" s="181">
        <f>IF(Grödor!F$2&gt;1,VLOOKUP(Grödor!F$2,'TB grundkalkyler'!$BE$1:$CE$13,10),0)</f>
        <v>0</v>
      </c>
      <c r="E15" s="181">
        <f>IF(Grödor!G$2&gt;1,VLOOKUP(Grödor!G$2,'TB grundkalkyler'!$BE$1:$CE$13,10),0)</f>
        <v>0</v>
      </c>
      <c r="F15" s="181">
        <f>IF(Grödor!H$2&gt;1,VLOOKUP(Grödor!H$2,'TB grundkalkyler'!$BE$1:$CE$13,10),0)</f>
        <v>0</v>
      </c>
      <c r="G15" s="181">
        <f>IF(Grödor!I$2&gt;1,VLOOKUP(Grödor!I$2,'TB grundkalkyler'!$BE$1:$CE$13,10),0)</f>
        <v>0</v>
      </c>
      <c r="H15" s="181">
        <f>IF(Grödor!J$2&gt;1,VLOOKUP(Grödor!J$2,'TB grundkalkyler'!$BE$1:$CE$13,10),0)</f>
        <v>0</v>
      </c>
      <c r="I15" s="181">
        <f>IF(Grödor!K$2&gt;1,VLOOKUP(Grödor!K$2,'TB grundkalkyler'!$BE$1:$CE$13,10),0)</f>
        <v>0</v>
      </c>
      <c r="J15" s="181"/>
      <c r="K15" s="9"/>
      <c r="L15" s="9"/>
      <c r="M15" s="158"/>
      <c r="N15" s="9"/>
      <c r="O15" s="9"/>
      <c r="P15" s="158"/>
      <c r="Q15" s="9"/>
      <c r="R15" s="9"/>
      <c r="S15" s="158"/>
      <c r="T15" s="9"/>
      <c r="U15" s="9"/>
      <c r="V15" s="158"/>
      <c r="W15" s="155"/>
      <c r="X15" s="155"/>
      <c r="Y15" s="155"/>
      <c r="Z15" s="155"/>
      <c r="AA15" s="155"/>
      <c r="AB15" s="155"/>
      <c r="AC15" s="155"/>
      <c r="AD15" s="155"/>
      <c r="AE15" s="155"/>
      <c r="AF15" s="155"/>
      <c r="AG15" s="155"/>
      <c r="AH15" s="155"/>
      <c r="AI15" s="155"/>
      <c r="AJ15" s="155"/>
      <c r="AK15" s="155"/>
      <c r="AL15" s="155"/>
      <c r="AM15" s="155"/>
      <c r="AN15" s="155"/>
      <c r="AO15" s="155"/>
      <c r="AP15" s="155"/>
      <c r="AQ15" s="155"/>
      <c r="AR15" s="155"/>
      <c r="AS15" s="155"/>
      <c r="AT15" s="155"/>
      <c r="AU15" s="155"/>
      <c r="AV15" s="155"/>
      <c r="AW15" s="155"/>
      <c r="AX15" s="155"/>
      <c r="AY15" s="155"/>
      <c r="AZ15" s="155"/>
    </row>
    <row r="16" spans="1:52" ht="12.75">
      <c r="A16" s="195" t="str">
        <f>'TB grundkalkyler'!A15</f>
        <v>Växtskydd ogräs</v>
      </c>
      <c r="B16" s="181">
        <f>IF(Grödor!D$2&gt;1,VLOOKUP(Grödor!D$2,'TB grundkalkyler'!$BE$1:$CE$13,11),0)</f>
        <v>230</v>
      </c>
      <c r="C16" s="181">
        <f>IF(Grödor!E$2&gt;1,VLOOKUP(Grödor!E$2,'TB grundkalkyler'!$BE$1:$CE$13,11),0)</f>
        <v>80</v>
      </c>
      <c r="D16" s="181">
        <f>IF(Grödor!F$2&gt;1,VLOOKUP(Grödor!F$2,'TB grundkalkyler'!$BE$1:$CE$13,11),0)</f>
        <v>148</v>
      </c>
      <c r="E16" s="181">
        <f>IF(Grödor!G$2&gt;1,VLOOKUP(Grödor!G$2,'TB grundkalkyler'!$BE$1:$CE$13,11),0)</f>
        <v>0</v>
      </c>
      <c r="F16" s="181">
        <f>IF(Grödor!H$2&gt;1,VLOOKUP(Grödor!H$2,'TB grundkalkyler'!$BE$1:$CE$13,11),0)</f>
        <v>0</v>
      </c>
      <c r="G16" s="181">
        <f>IF(Grödor!I$2&gt;1,VLOOKUP(Grödor!I$2,'TB grundkalkyler'!$BE$1:$CE$13,11),0)</f>
        <v>0</v>
      </c>
      <c r="H16" s="181">
        <f>IF(Grödor!J$2&gt;1,VLOOKUP(Grödor!J$2,'TB grundkalkyler'!$BE$1:$CE$13,11),0)</f>
        <v>0</v>
      </c>
      <c r="I16" s="181">
        <f>IF(Grödor!K$2&gt;1,VLOOKUP(Grödor!K$2,'TB grundkalkyler'!$BE$1:$CE$13,11),0)</f>
        <v>0</v>
      </c>
      <c r="J16" s="181"/>
      <c r="K16" s="9"/>
      <c r="L16" s="9"/>
      <c r="M16" s="158"/>
      <c r="N16" s="9"/>
      <c r="O16" s="9"/>
      <c r="P16" s="158"/>
      <c r="Q16" s="9"/>
      <c r="R16" s="9"/>
      <c r="S16" s="158"/>
      <c r="T16" s="9"/>
      <c r="U16" s="9"/>
      <c r="V16" s="158"/>
      <c r="W16" s="155"/>
      <c r="X16" s="155"/>
      <c r="Y16" s="155"/>
      <c r="Z16" s="155"/>
      <c r="AA16" s="155"/>
      <c r="AB16" s="155"/>
      <c r="AC16" s="155"/>
      <c r="AD16" s="155"/>
      <c r="AE16" s="155"/>
      <c r="AF16" s="155"/>
      <c r="AG16" s="155"/>
      <c r="AH16" s="155"/>
      <c r="AI16" s="155"/>
      <c r="AJ16" s="155"/>
      <c r="AK16" s="155"/>
      <c r="AL16" s="155"/>
      <c r="AM16" s="155"/>
      <c r="AN16" s="155"/>
      <c r="AO16" s="155"/>
      <c r="AP16" s="155"/>
      <c r="AQ16" s="155"/>
      <c r="AR16" s="155"/>
      <c r="AS16" s="155"/>
      <c r="AT16" s="155"/>
      <c r="AU16" s="155"/>
      <c r="AV16" s="155"/>
      <c r="AW16" s="155"/>
      <c r="AX16" s="155"/>
      <c r="AY16" s="155"/>
      <c r="AZ16" s="155"/>
    </row>
    <row r="17" spans="1:52" ht="12.75">
      <c r="A17" s="195" t="str">
        <f>'TB grundkalkyler'!A16</f>
        <v>Växtskydd insekt</v>
      </c>
      <c r="B17" s="181">
        <f>IF(Grödor!D$2&gt;1,VLOOKUP(Grödor!D$2,'TB grundkalkyler'!$BE$1:$CE$13,12),0)</f>
        <v>18.48</v>
      </c>
      <c r="C17" s="181">
        <f>IF(Grödor!E$2&gt;1,VLOOKUP(Grödor!E$2,'TB grundkalkyler'!$BE$1:$CE$13,12),0)</f>
        <v>30.200000000000003</v>
      </c>
      <c r="D17" s="181">
        <f>IF(Grödor!F$2&gt;1,VLOOKUP(Grödor!F$2,'TB grundkalkyler'!$BE$1:$CE$13,12),0)</f>
        <v>0</v>
      </c>
      <c r="E17" s="181">
        <f>IF(Grödor!G$2&gt;1,VLOOKUP(Grödor!G$2,'TB grundkalkyler'!$BE$1:$CE$13,12),0)</f>
        <v>0</v>
      </c>
      <c r="F17" s="181">
        <f>IF(Grödor!H$2&gt;1,VLOOKUP(Grödor!H$2,'TB grundkalkyler'!$BE$1:$CE$13,12),0)</f>
        <v>0</v>
      </c>
      <c r="G17" s="181">
        <f>IF(Grödor!I$2&gt;1,VLOOKUP(Grödor!I$2,'TB grundkalkyler'!$BE$1:$CE$13,12),0)</f>
        <v>0</v>
      </c>
      <c r="H17" s="181">
        <f>IF(Grödor!J$2&gt;1,VLOOKUP(Grödor!J$2,'TB grundkalkyler'!$BE$1:$CE$13,12),0)</f>
        <v>0</v>
      </c>
      <c r="I17" s="181">
        <f>IF(Grödor!K$2&gt;1,VLOOKUP(Grödor!K$2,'TB grundkalkyler'!$BE$1:$CE$13,12),0)</f>
        <v>0</v>
      </c>
      <c r="J17" s="181"/>
      <c r="K17" s="9"/>
      <c r="L17" s="9"/>
      <c r="M17" s="158"/>
      <c r="N17" s="9"/>
      <c r="O17" s="9"/>
      <c r="P17" s="158"/>
      <c r="Q17" s="9"/>
      <c r="R17" s="9"/>
      <c r="S17" s="158"/>
      <c r="T17" s="9"/>
      <c r="U17" s="9"/>
      <c r="V17" s="158"/>
      <c r="W17" s="155"/>
      <c r="X17" s="155"/>
      <c r="Y17" s="155"/>
      <c r="Z17" s="155"/>
      <c r="AA17" s="155"/>
      <c r="AB17" s="155"/>
      <c r="AC17" s="155"/>
      <c r="AD17" s="155"/>
      <c r="AE17" s="155"/>
      <c r="AF17" s="155"/>
      <c r="AG17" s="155"/>
      <c r="AH17" s="155"/>
      <c r="AI17" s="155"/>
      <c r="AJ17" s="155"/>
      <c r="AK17" s="155"/>
      <c r="AL17" s="155"/>
      <c r="AM17" s="155"/>
      <c r="AN17" s="155"/>
      <c r="AO17" s="155"/>
      <c r="AP17" s="155"/>
      <c r="AQ17" s="155"/>
      <c r="AR17" s="155"/>
      <c r="AS17" s="155"/>
      <c r="AT17" s="155"/>
      <c r="AU17" s="155"/>
      <c r="AV17" s="155"/>
      <c r="AW17" s="155"/>
      <c r="AX17" s="155"/>
      <c r="AY17" s="155"/>
      <c r="AZ17" s="155"/>
    </row>
    <row r="18" spans="1:52" ht="12.75">
      <c r="A18" s="195" t="str">
        <f>'TB grundkalkyler'!A17</f>
        <v>Växtskydd svamp</v>
      </c>
      <c r="B18" s="181">
        <f>IF(Grödor!D$2&gt;1,VLOOKUP(Grödor!D$2,'TB grundkalkyler'!$BE$1:$CE$13,13),0)</f>
        <v>100</v>
      </c>
      <c r="C18" s="181">
        <f>IF(Grödor!E$2&gt;1,VLOOKUP(Grödor!E$2,'TB grundkalkyler'!$BE$1:$CE$13,13),0)</f>
        <v>66.3</v>
      </c>
      <c r="D18" s="181">
        <f>IF(Grödor!F$2&gt;1,VLOOKUP(Grödor!F$2,'TB grundkalkyler'!$BE$1:$CE$13,13),0)</f>
        <v>0</v>
      </c>
      <c r="E18" s="181">
        <f>IF(Grödor!G$2&gt;1,VLOOKUP(Grödor!G$2,'TB grundkalkyler'!$BE$1:$CE$13,13),0)</f>
        <v>0</v>
      </c>
      <c r="F18" s="181">
        <f>IF(Grödor!H$2&gt;1,VLOOKUP(Grödor!H$2,'TB grundkalkyler'!$BE$1:$CE$13,13),0)</f>
        <v>0</v>
      </c>
      <c r="G18" s="181">
        <f>IF(Grödor!I$2&gt;1,VLOOKUP(Grödor!I$2,'TB grundkalkyler'!$BE$1:$CE$13,13),0)</f>
        <v>0</v>
      </c>
      <c r="H18" s="181">
        <f>IF(Grödor!J$2&gt;1,VLOOKUP(Grödor!J$2,'TB grundkalkyler'!$BE$1:$CE$13,13),0)</f>
        <v>0</v>
      </c>
      <c r="I18" s="181">
        <f>IF(Grödor!K$2&gt;1,VLOOKUP(Grödor!K$2,'TB grundkalkyler'!$BE$1:$CE$13,13),0)</f>
        <v>0</v>
      </c>
      <c r="J18" s="181"/>
      <c r="K18" s="9"/>
      <c r="L18" s="9"/>
      <c r="M18" s="158"/>
      <c r="N18" s="9"/>
      <c r="O18" s="9"/>
      <c r="P18" s="158"/>
      <c r="Q18" s="9"/>
      <c r="R18" s="9"/>
      <c r="S18" s="158"/>
      <c r="T18" s="9"/>
      <c r="U18" s="9"/>
      <c r="V18" s="158"/>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5"/>
      <c r="AZ18" s="155"/>
    </row>
    <row r="19" spans="1:52" ht="12.75">
      <c r="A19" s="195" t="str">
        <f>'TB grundkalkyler'!A18</f>
        <v>Kvickrot/kalkning</v>
      </c>
      <c r="B19" s="181">
        <f>IF(Grödor!D$2&gt;1,VLOOKUP(Grödor!D$2,'TB grundkalkyler'!$BE$1:$CE$13,14),0)</f>
        <v>42.125</v>
      </c>
      <c r="C19" s="181">
        <f>IF(Grödor!E$2&gt;1,VLOOKUP(Grödor!E$2,'TB grundkalkyler'!$BE$1:$CE$13,14),0)</f>
        <v>42.125</v>
      </c>
      <c r="D19" s="181">
        <f>IF(Grödor!F$2&gt;1,VLOOKUP(Grödor!F$2,'TB grundkalkyler'!$BE$1:$CE$13,14),0)</f>
        <v>95</v>
      </c>
      <c r="E19" s="181">
        <f>IF(Grödor!G$2&gt;1,VLOOKUP(Grödor!G$2,'TB grundkalkyler'!$BE$1:$CE$13,14),0)</f>
        <v>0</v>
      </c>
      <c r="F19" s="181">
        <f>IF(Grödor!H$2&gt;1,VLOOKUP(Grödor!H$2,'TB grundkalkyler'!$BE$1:$CE$13,14),0)</f>
        <v>0</v>
      </c>
      <c r="G19" s="181">
        <f>IF(Grödor!I$2&gt;1,VLOOKUP(Grödor!I$2,'TB grundkalkyler'!$BE$1:$CE$13,14),0)</f>
        <v>0</v>
      </c>
      <c r="H19" s="181">
        <f>IF(Grödor!J$2&gt;1,VLOOKUP(Grödor!J$2,'TB grundkalkyler'!$BE$1:$CE$13,14),0)</f>
        <v>0</v>
      </c>
      <c r="I19" s="181">
        <f>IF(Grödor!K$2&gt;1,VLOOKUP(Grödor!K$2,'TB grundkalkyler'!$BE$1:$CE$13,14),0)</f>
        <v>0</v>
      </c>
      <c r="J19" s="181"/>
      <c r="K19" s="9"/>
      <c r="L19" s="9"/>
      <c r="M19" s="158"/>
      <c r="N19" s="9"/>
      <c r="O19" s="9"/>
      <c r="P19" s="158"/>
      <c r="Q19" s="9"/>
      <c r="R19" s="9"/>
      <c r="S19" s="158"/>
      <c r="T19" s="9"/>
      <c r="U19" s="9"/>
      <c r="V19" s="158"/>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5"/>
      <c r="AY19" s="155"/>
      <c r="AZ19" s="155"/>
    </row>
    <row r="20" spans="1:52" ht="12.75">
      <c r="A20" s="195" t="str">
        <f>'TB grundkalkyler'!A19</f>
        <v>Övrigt</v>
      </c>
      <c r="B20" s="181">
        <f>IF(Grödor!D$2&gt;1,VLOOKUP(Grödor!D$2,'TB grundkalkyler'!$BE$1:$CE$13,15),0)</f>
        <v>0</v>
      </c>
      <c r="C20" s="181">
        <f>IF(Grödor!E$2&gt;1,VLOOKUP(Grödor!E$2,'TB grundkalkyler'!$BE$1:$CE$13,15),0)</f>
        <v>0</v>
      </c>
      <c r="D20" s="181">
        <f>IF(Grödor!F$2&gt;1,VLOOKUP(Grödor!F$2,'TB grundkalkyler'!$BE$1:$CE$13,15),0)</f>
        <v>137.2</v>
      </c>
      <c r="E20" s="181">
        <f>IF(Grödor!G$2&gt;1,VLOOKUP(Grödor!G$2,'TB grundkalkyler'!$BE$1:$CE$13,15),0)</f>
        <v>0</v>
      </c>
      <c r="F20" s="181">
        <f>IF(Grödor!H$2&gt;1,VLOOKUP(Grödor!H$2,'TB grundkalkyler'!$BE$1:$CE$13,15),0)</f>
        <v>0</v>
      </c>
      <c r="G20" s="181">
        <f>IF(Grödor!I$2&gt;1,VLOOKUP(Grödor!I$2,'TB grundkalkyler'!$BE$1:$CE$13,15),0)</f>
        <v>0</v>
      </c>
      <c r="H20" s="181">
        <f>IF(Grödor!J$2&gt;1,VLOOKUP(Grödor!J$2,'TB grundkalkyler'!$BE$1:$CE$13,15),0)</f>
        <v>0</v>
      </c>
      <c r="I20" s="181">
        <f>IF(Grödor!K$2&gt;1,VLOOKUP(Grödor!K$2,'TB grundkalkyler'!$BE$1:$CE$13,15),0)</f>
        <v>0</v>
      </c>
      <c r="J20" s="181"/>
      <c r="K20" s="9"/>
      <c r="L20" s="9"/>
      <c r="M20" s="158"/>
      <c r="N20" s="9"/>
      <c r="O20" s="9"/>
      <c r="P20" s="158"/>
      <c r="Q20" s="9"/>
      <c r="R20" s="9"/>
      <c r="S20" s="158"/>
      <c r="T20" s="9"/>
      <c r="U20" s="9"/>
      <c r="V20" s="158"/>
      <c r="W20" s="155"/>
      <c r="X20" s="155"/>
      <c r="Y20" s="155"/>
      <c r="Z20" s="155"/>
      <c r="AA20" s="155"/>
      <c r="AB20" s="155"/>
      <c r="AC20" s="155"/>
      <c r="AD20" s="155"/>
      <c r="AE20" s="155"/>
      <c r="AF20" s="155"/>
      <c r="AG20" s="155"/>
      <c r="AH20" s="155"/>
      <c r="AI20" s="155"/>
      <c r="AJ20" s="155"/>
      <c r="AK20" s="155"/>
      <c r="AL20" s="155"/>
      <c r="AM20" s="155"/>
      <c r="AN20" s="155"/>
      <c r="AO20" s="155"/>
      <c r="AP20" s="155"/>
      <c r="AQ20" s="155"/>
      <c r="AR20" s="155"/>
      <c r="AS20" s="155"/>
      <c r="AT20" s="155"/>
      <c r="AU20" s="155"/>
      <c r="AV20" s="155"/>
      <c r="AW20" s="155"/>
      <c r="AX20" s="155"/>
      <c r="AY20" s="155"/>
      <c r="AZ20" s="155"/>
    </row>
    <row r="21" spans="1:52" ht="12.75">
      <c r="A21" s="197" t="s">
        <v>305</v>
      </c>
      <c r="B21" s="181">
        <f>IF(Grödor!D$2&gt;1,VLOOKUP(Grödor!D$2,'TB grundkalkyler'!$BE$1:$CE$13,16),0)</f>
        <v>2229.305</v>
      </c>
      <c r="C21" s="181">
        <f>IF(Grödor!E$2&gt;1,VLOOKUP(Grödor!E$2,'TB grundkalkyler'!$BE$1:$CE$13,16),0)</f>
        <v>1720.625</v>
      </c>
      <c r="D21" s="181">
        <f>IF(Grödor!F$2&gt;1,VLOOKUP(Grödor!F$2,'TB grundkalkyler'!$BE$1:$CE$13,16),0)</f>
        <v>1511.6000000000001</v>
      </c>
      <c r="E21" s="181">
        <f>IF(Grödor!G$2&gt;1,VLOOKUP(Grödor!G$2,'TB grundkalkyler'!$BE$1:$CE$13,16),0)</f>
        <v>0</v>
      </c>
      <c r="F21" s="181">
        <f>IF(Grödor!H$2&gt;1,VLOOKUP(Grödor!H$2,'TB grundkalkyler'!$BE$1:$CE$13,16),0)</f>
        <v>0</v>
      </c>
      <c r="G21" s="181">
        <f>IF(Grödor!I$2&gt;1,VLOOKUP(Grödor!I$2,'TB grundkalkyler'!$BE$1:$CE$13,16),0)</f>
        <v>0</v>
      </c>
      <c r="H21" s="181">
        <f>IF(Grödor!J$2&gt;1,VLOOKUP(Grödor!J$2,'TB grundkalkyler'!$BE$1:$CE$13,16),0)</f>
        <v>0</v>
      </c>
      <c r="I21" s="181">
        <f>IF(Grödor!K$2&gt;1,VLOOKUP(Grödor!K$2,'TB grundkalkyler'!$BE$1:$CE$13,16),0)</f>
        <v>0</v>
      </c>
      <c r="J21" s="181"/>
      <c r="K21" s="9"/>
      <c r="L21" s="9"/>
      <c r="M21" s="158"/>
      <c r="N21" s="9"/>
      <c r="O21" s="9"/>
      <c r="P21" s="158"/>
      <c r="Q21" s="9"/>
      <c r="R21" s="9"/>
      <c r="S21" s="158"/>
      <c r="T21" s="9"/>
      <c r="U21" s="9"/>
      <c r="V21" s="158"/>
      <c r="W21" s="155"/>
      <c r="X21" s="155"/>
      <c r="Y21" s="155"/>
      <c r="Z21" s="155"/>
      <c r="AA21" s="155"/>
      <c r="AB21" s="155"/>
      <c r="AC21" s="155"/>
      <c r="AD21" s="155"/>
      <c r="AE21" s="155"/>
      <c r="AF21" s="155"/>
      <c r="AG21" s="155"/>
      <c r="AH21" s="155"/>
      <c r="AI21" s="155"/>
      <c r="AJ21" s="155"/>
      <c r="AK21" s="155"/>
      <c r="AL21" s="155"/>
      <c r="AM21" s="155"/>
      <c r="AN21" s="155"/>
      <c r="AO21" s="155"/>
      <c r="AP21" s="155"/>
      <c r="AQ21" s="155"/>
      <c r="AR21" s="155"/>
      <c r="AS21" s="155"/>
      <c r="AT21" s="155"/>
      <c r="AU21" s="155"/>
      <c r="AV21" s="155"/>
      <c r="AW21" s="155"/>
      <c r="AX21" s="155"/>
      <c r="AY21" s="155"/>
      <c r="AZ21" s="155"/>
    </row>
    <row r="22" spans="1:52" ht="12.75">
      <c r="A22" s="192" t="s">
        <v>306</v>
      </c>
      <c r="B22" s="181"/>
      <c r="C22" s="181"/>
      <c r="D22" s="181"/>
      <c r="E22" s="181"/>
      <c r="F22" s="181"/>
      <c r="G22" s="181"/>
      <c r="H22" s="181"/>
      <c r="I22" s="181"/>
      <c r="J22" s="181"/>
      <c r="K22" s="9"/>
      <c r="L22" s="9"/>
      <c r="M22" s="158"/>
      <c r="N22" s="9"/>
      <c r="O22" s="9"/>
      <c r="P22" s="158"/>
      <c r="Q22" s="9"/>
      <c r="R22" s="9"/>
      <c r="S22" s="158"/>
      <c r="T22" s="9"/>
      <c r="U22" s="9"/>
      <c r="V22" s="158"/>
      <c r="W22" s="155"/>
      <c r="X22" s="155"/>
      <c r="Y22" s="155"/>
      <c r="Z22" s="155"/>
      <c r="AA22" s="155"/>
      <c r="AB22" s="155"/>
      <c r="AC22" s="155"/>
      <c r="AD22" s="155"/>
      <c r="AE22" s="155"/>
      <c r="AF22" s="155"/>
      <c r="AG22" s="155"/>
      <c r="AH22" s="155"/>
      <c r="AI22" s="155"/>
      <c r="AJ22" s="155"/>
      <c r="AK22" s="155"/>
      <c r="AL22" s="155"/>
      <c r="AM22" s="155"/>
      <c r="AN22" s="155"/>
      <c r="AO22" s="155"/>
      <c r="AP22" s="155"/>
      <c r="AQ22" s="155"/>
      <c r="AR22" s="155"/>
      <c r="AS22" s="155"/>
      <c r="AT22" s="155"/>
      <c r="AU22" s="155"/>
      <c r="AV22" s="155"/>
      <c r="AW22" s="155"/>
      <c r="AX22" s="155"/>
      <c r="AY22" s="155"/>
      <c r="AZ22" s="155"/>
    </row>
    <row r="23" spans="1:52" ht="12.75">
      <c r="A23" s="195" t="str">
        <f>'TB grundkalkyler'!A22</f>
        <v>Transport</v>
      </c>
      <c r="B23" s="181">
        <f>IF(Grödor!D$2&gt;1,VLOOKUP(Grödor!D$2,'TB grundkalkyler'!$BE$1:$CE$13,18),0)</f>
        <v>438</v>
      </c>
      <c r="C23" s="181">
        <f>IF(Grödor!E$2&gt;1,VLOOKUP(Grödor!E$2,'TB grundkalkyler'!$BE$1:$CE$13,18),0)</f>
        <v>379.6</v>
      </c>
      <c r="D23" s="181">
        <f>IF(Grödor!F$2&gt;1,VLOOKUP(Grödor!F$2,'TB grundkalkyler'!$BE$1:$CE$13,18),0)</f>
        <v>138.7</v>
      </c>
      <c r="E23" s="181">
        <f>IF(Grödor!G$2&gt;1,VLOOKUP(Grödor!G$2,'TB grundkalkyler'!$BE$1:$CE$13,18),0)</f>
        <v>0</v>
      </c>
      <c r="F23" s="181">
        <f>IF(Grödor!H$2&gt;1,VLOOKUP(Grödor!H$2,'TB grundkalkyler'!$BE$1:$CE$13,18),0)</f>
        <v>0</v>
      </c>
      <c r="G23" s="181">
        <f>IF(Grödor!I$2&gt;1,VLOOKUP(Grödor!I$2,'TB grundkalkyler'!$BE$1:$CE$13,18),0)</f>
        <v>0</v>
      </c>
      <c r="H23" s="181">
        <f>IF(Grödor!J$2&gt;1,VLOOKUP(Grödor!J$2,'TB grundkalkyler'!$BE$1:$CE$13,18),0)</f>
        <v>0</v>
      </c>
      <c r="I23" s="181">
        <f>IF(Grödor!K$2&gt;1,VLOOKUP(Grödor!K$2,'TB grundkalkyler'!$BE$1:$CE$13,18),0)</f>
        <v>0</v>
      </c>
      <c r="J23" s="181"/>
      <c r="K23" s="159"/>
      <c r="L23" s="9"/>
      <c r="M23" s="158"/>
      <c r="N23" s="159"/>
      <c r="O23" s="9"/>
      <c r="P23" s="158"/>
      <c r="Q23" s="159"/>
      <c r="R23" s="9"/>
      <c r="S23" s="158"/>
      <c r="T23" s="159"/>
      <c r="U23" s="9"/>
      <c r="V23" s="158"/>
      <c r="W23" s="155"/>
      <c r="X23" s="155"/>
      <c r="Y23" s="155"/>
      <c r="Z23" s="155"/>
      <c r="AA23" s="155"/>
      <c r="AB23" s="155"/>
      <c r="AC23" s="155"/>
      <c r="AD23" s="155"/>
      <c r="AE23" s="155"/>
      <c r="AF23" s="155"/>
      <c r="AG23" s="155"/>
      <c r="AH23" s="155"/>
      <c r="AI23" s="155"/>
      <c r="AJ23" s="155"/>
      <c r="AK23" s="155"/>
      <c r="AL23" s="155"/>
      <c r="AM23" s="155"/>
      <c r="AN23" s="155"/>
      <c r="AO23" s="155"/>
      <c r="AP23" s="155"/>
      <c r="AQ23" s="155"/>
      <c r="AR23" s="155"/>
      <c r="AS23" s="155"/>
      <c r="AT23" s="155"/>
      <c r="AU23" s="155"/>
      <c r="AV23" s="155"/>
      <c r="AW23" s="155"/>
      <c r="AX23" s="155"/>
      <c r="AY23" s="155"/>
      <c r="AZ23" s="155"/>
    </row>
    <row r="24" spans="1:52" ht="12.75">
      <c r="A24" s="195" t="str">
        <f>'TB grundkalkyler'!A23</f>
        <v>Torkning</v>
      </c>
      <c r="B24" s="181">
        <f>IF(Grödor!D$2&gt;1,VLOOKUP(Grödor!D$2,'TB grundkalkyler'!$BE$1:$CE$13,19),0)</f>
        <v>687</v>
      </c>
      <c r="C24" s="181">
        <f>IF(Grödor!E$2&gt;1,VLOOKUP(Grödor!E$2,'TB grundkalkyler'!$BE$1:$CE$13,19),0)</f>
        <v>595.4</v>
      </c>
      <c r="D24" s="181">
        <f>IF(Grödor!F$2&gt;1,VLOOKUP(Grödor!F$2,'TB grundkalkyler'!$BE$1:$CE$13,19),0)</f>
        <v>217.54999999999998</v>
      </c>
      <c r="E24" s="181">
        <f>IF(Grödor!G$2&gt;1,VLOOKUP(Grödor!G$2,'TB grundkalkyler'!$BE$1:$CE$13,19),0)</f>
        <v>0</v>
      </c>
      <c r="F24" s="181">
        <f>IF(Grödor!H$2&gt;1,VLOOKUP(Grödor!H$2,'TB grundkalkyler'!$BE$1:$CE$13,19),0)</f>
        <v>0</v>
      </c>
      <c r="G24" s="181">
        <f>IF(Grödor!I$2&gt;1,VLOOKUP(Grödor!I$2,'TB grundkalkyler'!$BE$1:$CE$13,19),0)</f>
        <v>0</v>
      </c>
      <c r="H24" s="181">
        <f>IF(Grödor!J$2&gt;1,VLOOKUP(Grödor!J$2,'TB grundkalkyler'!$BE$1:$CE$13,19),0)</f>
        <v>0</v>
      </c>
      <c r="I24" s="181">
        <f>IF(Grödor!K$2&gt;1,VLOOKUP(Grödor!K$2,'TB grundkalkyler'!$BE$1:$CE$13,19),0)</f>
        <v>0</v>
      </c>
      <c r="J24" s="181"/>
      <c r="K24" s="159"/>
      <c r="L24" s="9"/>
      <c r="M24" s="158"/>
      <c r="N24" s="159"/>
      <c r="O24" s="9"/>
      <c r="P24" s="158"/>
      <c r="Q24" s="159"/>
      <c r="R24" s="9"/>
      <c r="S24" s="158"/>
      <c r="T24" s="159"/>
      <c r="U24" s="9"/>
      <c r="V24" s="158"/>
      <c r="W24" s="155"/>
      <c r="X24" s="155"/>
      <c r="Y24" s="155"/>
      <c r="Z24" s="155"/>
      <c r="AA24" s="155"/>
      <c r="AB24" s="155"/>
      <c r="AC24" s="155"/>
      <c r="AD24" s="155"/>
      <c r="AE24" s="155"/>
      <c r="AF24" s="155"/>
      <c r="AG24" s="155"/>
      <c r="AH24" s="155"/>
      <c r="AI24" s="155"/>
      <c r="AJ24" s="155"/>
      <c r="AK24" s="155"/>
      <c r="AL24" s="155"/>
      <c r="AM24" s="155"/>
      <c r="AN24" s="155"/>
      <c r="AO24" s="155"/>
      <c r="AP24" s="155"/>
      <c r="AQ24" s="155"/>
      <c r="AR24" s="155"/>
      <c r="AS24" s="155"/>
      <c r="AT24" s="155"/>
      <c r="AU24" s="155"/>
      <c r="AV24" s="155"/>
      <c r="AW24" s="155"/>
      <c r="AX24" s="155"/>
      <c r="AY24" s="155"/>
      <c r="AZ24" s="155"/>
    </row>
    <row r="25" spans="1:52" ht="12.75">
      <c r="A25" s="195" t="str">
        <f>'TB grundkalkyler'!A24</f>
        <v>Analys/div.</v>
      </c>
      <c r="B25" s="181">
        <f>IF(Grödor!D$2&gt;1,VLOOKUP(Grödor!D$2,'TB grundkalkyler'!$BE$1:$CE$13,20),0)</f>
        <v>158</v>
      </c>
      <c r="C25" s="181">
        <f>IF(Grödor!E$2&gt;1,VLOOKUP(Grödor!E$2,'TB grundkalkyler'!$BE$1:$CE$13,20),0)</f>
        <v>158</v>
      </c>
      <c r="D25" s="181">
        <f>IF(Grödor!F$2&gt;1,VLOOKUP(Grödor!F$2,'TB grundkalkyler'!$BE$1:$CE$13,20),0)</f>
        <v>181</v>
      </c>
      <c r="E25" s="181">
        <f>IF(Grödor!G$2&gt;1,VLOOKUP(Grödor!G$2,'TB grundkalkyler'!$BE$1:$CE$13,20),0)</f>
        <v>0</v>
      </c>
      <c r="F25" s="181">
        <f>IF(Grödor!H$2&gt;1,VLOOKUP(Grödor!H$2,'TB grundkalkyler'!$BE$1:$CE$13,20),0)</f>
        <v>0</v>
      </c>
      <c r="G25" s="181">
        <f>IF(Grödor!I$2&gt;1,VLOOKUP(Grödor!I$2,'TB grundkalkyler'!$BE$1:$CE$13,20),0)</f>
        <v>0</v>
      </c>
      <c r="H25" s="181">
        <f>IF(Grödor!J$2&gt;1,VLOOKUP(Grödor!J$2,'TB grundkalkyler'!$BE$1:$CE$13,20),0)</f>
        <v>0</v>
      </c>
      <c r="I25" s="181">
        <f>IF(Grödor!K$2&gt;1,VLOOKUP(Grödor!K$2,'TB grundkalkyler'!$BE$1:$CE$13,20),0)</f>
        <v>0</v>
      </c>
      <c r="J25" s="181"/>
      <c r="K25" s="9"/>
      <c r="L25" s="9"/>
      <c r="M25" s="158"/>
      <c r="N25" s="9"/>
      <c r="O25" s="9"/>
      <c r="P25" s="158"/>
      <c r="Q25" s="9"/>
      <c r="R25" s="9"/>
      <c r="S25" s="158"/>
      <c r="T25" s="9"/>
      <c r="U25" s="9"/>
      <c r="V25" s="158"/>
      <c r="W25" s="155"/>
      <c r="X25" s="155"/>
      <c r="Y25" s="155"/>
      <c r="Z25" s="155"/>
      <c r="AA25" s="155"/>
      <c r="AB25" s="155"/>
      <c r="AC25" s="155"/>
      <c r="AD25" s="155"/>
      <c r="AE25" s="155"/>
      <c r="AF25" s="155"/>
      <c r="AG25" s="155"/>
      <c r="AH25" s="155"/>
      <c r="AI25" s="155"/>
      <c r="AJ25" s="155"/>
      <c r="AK25" s="155"/>
      <c r="AL25" s="155"/>
      <c r="AM25" s="155"/>
      <c r="AN25" s="155"/>
      <c r="AO25" s="155"/>
      <c r="AP25" s="155"/>
      <c r="AQ25" s="155"/>
      <c r="AR25" s="155"/>
      <c r="AS25" s="155"/>
      <c r="AT25" s="155"/>
      <c r="AU25" s="155"/>
      <c r="AV25" s="155"/>
      <c r="AW25" s="155"/>
      <c r="AX25" s="155"/>
      <c r="AY25" s="155"/>
      <c r="AZ25" s="155"/>
    </row>
    <row r="26" spans="1:52" ht="12.75">
      <c r="A26" s="195" t="str">
        <f>'TB grundkalkyler'!A25</f>
        <v>Övrigt</v>
      </c>
      <c r="B26" s="181">
        <f>IF(Grödor!D$2&gt;1,VLOOKUP(Grödor!D$2,'TB grundkalkyler'!$BE$1:$CE$13,21),0)</f>
        <v>0</v>
      </c>
      <c r="C26" s="181">
        <f>IF(Grödor!E$2&gt;1,VLOOKUP(Grödor!E$2,'TB grundkalkyler'!$BE$1:$CE$13,21),0)</f>
        <v>0</v>
      </c>
      <c r="D26" s="181">
        <f>IF(Grödor!F$2&gt;1,VLOOKUP(Grödor!F$2,'TB grundkalkyler'!$BE$1:$CE$13,21),0)</f>
        <v>0</v>
      </c>
      <c r="E26" s="181">
        <f>IF(Grödor!G$2&gt;1,VLOOKUP(Grödor!G$2,'TB grundkalkyler'!$BE$1:$CE$13,21),0)</f>
        <v>0</v>
      </c>
      <c r="F26" s="181">
        <f>IF(Grödor!H$2&gt;1,VLOOKUP(Grödor!H$2,'TB grundkalkyler'!$BE$1:$CE$13,21),0)</f>
        <v>0</v>
      </c>
      <c r="G26" s="181">
        <f>IF(Grödor!I$2&gt;1,VLOOKUP(Grödor!I$2,'TB grundkalkyler'!$BE$1:$CE$13,21),0)</f>
        <v>0</v>
      </c>
      <c r="H26" s="181">
        <f>IF(Grödor!J$2&gt;1,VLOOKUP(Grödor!J$2,'TB grundkalkyler'!$BE$1:$CE$13,21),0)</f>
        <v>0</v>
      </c>
      <c r="I26" s="181">
        <f>IF(Grödor!K$2&gt;1,VLOOKUP(Grödor!K$2,'TB grundkalkyler'!$BE$1:$CE$13,21),0)</f>
        <v>0</v>
      </c>
      <c r="J26" s="181"/>
      <c r="K26" s="9"/>
      <c r="L26" s="9"/>
      <c r="M26" s="158"/>
      <c r="N26" s="9"/>
      <c r="O26" s="9"/>
      <c r="P26" s="158"/>
      <c r="Q26" s="9"/>
      <c r="R26" s="9"/>
      <c r="S26" s="158"/>
      <c r="T26" s="9"/>
      <c r="U26" s="9"/>
      <c r="V26" s="158"/>
      <c r="W26" s="155"/>
      <c r="X26" s="155"/>
      <c r="Y26" s="155"/>
      <c r="Z26" s="155"/>
      <c r="AA26" s="155"/>
      <c r="AB26" s="155"/>
      <c r="AC26" s="155"/>
      <c r="AD26" s="155"/>
      <c r="AE26" s="155"/>
      <c r="AF26" s="155"/>
      <c r="AG26" s="155"/>
      <c r="AH26" s="155"/>
      <c r="AI26" s="155"/>
      <c r="AJ26" s="155"/>
      <c r="AK26" s="155"/>
      <c r="AL26" s="155"/>
      <c r="AM26" s="155"/>
      <c r="AN26" s="155"/>
      <c r="AO26" s="155"/>
      <c r="AP26" s="155"/>
      <c r="AQ26" s="155"/>
      <c r="AR26" s="155"/>
      <c r="AS26" s="155"/>
      <c r="AT26" s="155"/>
      <c r="AU26" s="155"/>
      <c r="AV26" s="155"/>
      <c r="AW26" s="155"/>
      <c r="AX26" s="155"/>
      <c r="AY26" s="155"/>
      <c r="AZ26" s="155"/>
    </row>
    <row r="27" spans="1:52" ht="12.75">
      <c r="A27" s="195" t="str">
        <f>'TB grundkalkyler'!A26</f>
        <v>Ränta rörelsekap</v>
      </c>
      <c r="B27" s="181">
        <f>IF(Grödor!D$2&gt;1,VLOOKUP(Grödor!D$2,'TB grundkalkyler'!$BE$1:$CE$13,22),0)</f>
        <v>105.36914999999999</v>
      </c>
      <c r="C27" s="181">
        <f>IF(Grödor!E$2&gt;1,VLOOKUP(Grödor!E$2,'TB grundkalkyler'!$BE$1:$CE$13,22),0)</f>
        <v>85.60875</v>
      </c>
      <c r="D27" s="181">
        <f>IF(Grödor!F$2&gt;1,VLOOKUP(Grödor!F$2,'TB grundkalkyler'!$BE$1:$CE$13,22),0)</f>
        <v>61.465500000000006</v>
      </c>
      <c r="E27" s="181">
        <f>IF(Grödor!G$2&gt;1,VLOOKUP(Grödor!G$2,'TB grundkalkyler'!$BE$1:$CE$13,22),0)</f>
        <v>0</v>
      </c>
      <c r="F27" s="181">
        <f>IF(Grödor!H$2&gt;1,VLOOKUP(Grödor!H$2,'TB grundkalkyler'!$BE$1:$CE$13,22),0)</f>
        <v>0</v>
      </c>
      <c r="G27" s="181">
        <f>IF(Grödor!I$2&gt;1,VLOOKUP(Grödor!I$2,'TB grundkalkyler'!$BE$1:$CE$13,22),0)</f>
        <v>0</v>
      </c>
      <c r="H27" s="181">
        <f>IF(Grödor!J$2&gt;1,VLOOKUP(Grödor!J$2,'TB grundkalkyler'!$BE$1:$CE$13,22),0)</f>
        <v>0</v>
      </c>
      <c r="I27" s="181">
        <f>IF(Grödor!K$2&gt;1,VLOOKUP(Grödor!K$2,'TB grundkalkyler'!$BE$1:$CE$13,22),0)</f>
        <v>0</v>
      </c>
      <c r="J27" s="181"/>
      <c r="K27" s="158"/>
      <c r="L27" s="9"/>
      <c r="M27" s="158"/>
      <c r="N27" s="158"/>
      <c r="O27" s="9"/>
      <c r="P27" s="158"/>
      <c r="Q27" s="158"/>
      <c r="R27" s="9"/>
      <c r="S27" s="158"/>
      <c r="T27" s="158"/>
      <c r="U27" s="9"/>
      <c r="V27" s="158"/>
      <c r="W27" s="155"/>
      <c r="X27" s="155"/>
      <c r="Y27" s="155"/>
      <c r="Z27" s="155"/>
      <c r="AA27" s="155"/>
      <c r="AB27" s="155"/>
      <c r="AC27" s="155"/>
      <c r="AD27" s="155"/>
      <c r="AE27" s="155"/>
      <c r="AF27" s="155"/>
      <c r="AG27" s="155"/>
      <c r="AH27" s="155"/>
      <c r="AI27" s="155"/>
      <c r="AJ27" s="155"/>
      <c r="AK27" s="155"/>
      <c r="AL27" s="155"/>
      <c r="AM27" s="155"/>
      <c r="AN27" s="155"/>
      <c r="AO27" s="155"/>
      <c r="AP27" s="155"/>
      <c r="AQ27" s="155"/>
      <c r="AR27" s="155"/>
      <c r="AS27" s="155"/>
      <c r="AT27" s="155"/>
      <c r="AU27" s="155"/>
      <c r="AV27" s="155"/>
      <c r="AW27" s="155"/>
      <c r="AX27" s="155"/>
      <c r="AY27" s="155"/>
      <c r="AZ27" s="155"/>
    </row>
    <row r="28" spans="1:52" ht="12.75">
      <c r="A28" s="197" t="s">
        <v>311</v>
      </c>
      <c r="B28" s="181">
        <f>IF(Grödor!D$2&gt;1,VLOOKUP(Grödor!D$2,'TB grundkalkyler'!$BE$1:$CE$13,23),0)</f>
        <v>1388.36915</v>
      </c>
      <c r="C28" s="181">
        <f>IF(Grödor!E$2&gt;1,VLOOKUP(Grödor!E$2,'TB grundkalkyler'!$BE$1:$CE$13,23),0)</f>
        <v>1218.60875</v>
      </c>
      <c r="D28" s="181">
        <f>IF(Grödor!F$2&gt;1,VLOOKUP(Grödor!F$2,'TB grundkalkyler'!$BE$1:$CE$13,23),0)</f>
        <v>598.7155</v>
      </c>
      <c r="E28" s="181">
        <f>IF(Grödor!G$2&gt;1,VLOOKUP(Grödor!G$2,'TB grundkalkyler'!$BE$1:$CE$13,23),0)</f>
        <v>0</v>
      </c>
      <c r="F28" s="181">
        <f>IF(Grödor!H$2&gt;1,VLOOKUP(Grödor!H$2,'TB grundkalkyler'!$BE$1:$CE$13,23),0)</f>
        <v>0</v>
      </c>
      <c r="G28" s="181">
        <f>IF(Grödor!I$2&gt;1,VLOOKUP(Grödor!I$2,'TB grundkalkyler'!$BE$1:$CE$13,23),0)</f>
        <v>0</v>
      </c>
      <c r="H28" s="181">
        <f>IF(Grödor!J$2&gt;1,VLOOKUP(Grödor!J$2,'TB grundkalkyler'!$BE$1:$CE$13,23),0)</f>
        <v>0</v>
      </c>
      <c r="I28" s="181">
        <f>IF(Grödor!K$2&gt;1,VLOOKUP(Grödor!K$2,'TB grundkalkyler'!$BE$1:$CE$13,23),0)</f>
        <v>0</v>
      </c>
      <c r="J28" s="181"/>
      <c r="K28" s="9"/>
      <c r="L28" s="9"/>
      <c r="M28" s="158"/>
      <c r="N28" s="9"/>
      <c r="O28" s="9"/>
      <c r="P28" s="158"/>
      <c r="Q28" s="9"/>
      <c r="R28" s="9"/>
      <c r="S28" s="158"/>
      <c r="T28" s="9"/>
      <c r="U28" s="9"/>
      <c r="V28" s="158"/>
      <c r="W28" s="155"/>
      <c r="X28" s="155"/>
      <c r="Y28" s="155"/>
      <c r="Z28" s="155"/>
      <c r="AA28" s="155"/>
      <c r="AB28" s="155"/>
      <c r="AC28" s="155"/>
      <c r="AD28" s="155"/>
      <c r="AE28" s="155"/>
      <c r="AF28" s="155"/>
      <c r="AG28" s="155"/>
      <c r="AH28" s="155"/>
      <c r="AI28" s="155"/>
      <c r="AJ28" s="155"/>
      <c r="AK28" s="155"/>
      <c r="AL28" s="155"/>
      <c r="AM28" s="155"/>
      <c r="AN28" s="155"/>
      <c r="AO28" s="155"/>
      <c r="AP28" s="155"/>
      <c r="AQ28" s="155"/>
      <c r="AR28" s="155"/>
      <c r="AS28" s="155"/>
      <c r="AT28" s="155"/>
      <c r="AU28" s="155"/>
      <c r="AV28" s="155"/>
      <c r="AW28" s="155"/>
      <c r="AX28" s="155"/>
      <c r="AY28" s="155"/>
      <c r="AZ28" s="155"/>
    </row>
    <row r="29" spans="1:52" ht="12.75">
      <c r="A29" s="195"/>
      <c r="B29" s="181"/>
      <c r="C29" s="181"/>
      <c r="D29" s="181"/>
      <c r="E29" s="181"/>
      <c r="F29" s="181"/>
      <c r="G29" s="181"/>
      <c r="H29" s="181"/>
      <c r="I29" s="181"/>
      <c r="J29" s="181"/>
      <c r="K29" s="9"/>
      <c r="L29" s="9"/>
      <c r="M29" s="158"/>
      <c r="N29" s="9"/>
      <c r="O29" s="9"/>
      <c r="P29" s="158"/>
      <c r="Q29" s="9"/>
      <c r="R29" s="9"/>
      <c r="S29" s="158"/>
      <c r="T29" s="9"/>
      <c r="U29" s="9"/>
      <c r="V29" s="158"/>
      <c r="W29" s="155"/>
      <c r="X29" s="155"/>
      <c r="Y29" s="155"/>
      <c r="Z29" s="155"/>
      <c r="AA29" s="155"/>
      <c r="AB29" s="155"/>
      <c r="AC29" s="155"/>
      <c r="AD29" s="155"/>
      <c r="AE29" s="155"/>
      <c r="AF29" s="155"/>
      <c r="AG29" s="155"/>
      <c r="AH29" s="155"/>
      <c r="AI29" s="155"/>
      <c r="AJ29" s="155"/>
      <c r="AK29" s="155"/>
      <c r="AL29" s="155"/>
      <c r="AM29" s="155"/>
      <c r="AN29" s="155"/>
      <c r="AO29" s="155"/>
      <c r="AP29" s="155"/>
      <c r="AQ29" s="155"/>
      <c r="AR29" s="155"/>
      <c r="AS29" s="155"/>
      <c r="AT29" s="155"/>
      <c r="AU29" s="155"/>
      <c r="AV29" s="155"/>
      <c r="AW29" s="155"/>
      <c r="AX29" s="155"/>
      <c r="AY29" s="155"/>
      <c r="AZ29" s="155"/>
    </row>
    <row r="30" spans="1:52" ht="12.75">
      <c r="A30" s="197" t="s">
        <v>312</v>
      </c>
      <c r="B30" s="181">
        <f>IF(Grödor!D$2&gt;1,VLOOKUP(Grödor!D$2,'TB grundkalkyler'!$BE$1:$CE$13,24),0)</f>
        <v>3617.67415</v>
      </c>
      <c r="C30" s="181">
        <f>IF(Grödor!E$2&gt;1,VLOOKUP(Grödor!E$2,'TB grundkalkyler'!$BE$1:$CE$13,24),0)</f>
        <v>2939.2337500000003</v>
      </c>
      <c r="D30" s="181">
        <f>IF(Grödor!F$2&gt;1,VLOOKUP(Grödor!F$2,'TB grundkalkyler'!$BE$1:$CE$13,24),0)</f>
        <v>2110.3155</v>
      </c>
      <c r="E30" s="181">
        <f>IF(Grödor!G$2&gt;1,VLOOKUP(Grödor!G$2,'TB grundkalkyler'!$BE$1:$CE$13,24),0)</f>
        <v>0</v>
      </c>
      <c r="F30" s="181">
        <f>IF(Grödor!H$2&gt;1,VLOOKUP(Grödor!H$2,'TB grundkalkyler'!$BE$1:$CE$13,24),0)</f>
        <v>0</v>
      </c>
      <c r="G30" s="181">
        <f>IF(Grödor!I$2&gt;1,VLOOKUP(Grödor!I$2,'TB grundkalkyler'!$BE$1:$CE$13,24),0)</f>
        <v>0</v>
      </c>
      <c r="H30" s="181">
        <f>IF(Grödor!J$2&gt;1,VLOOKUP(Grödor!J$2,'TB grundkalkyler'!$BE$1:$CE$13,24),0)</f>
        <v>0</v>
      </c>
      <c r="I30" s="181">
        <f>IF(Grödor!K$2&gt;1,VLOOKUP(Grödor!K$2,'TB grundkalkyler'!$BE$1:$CE$13,24),0)</f>
        <v>0</v>
      </c>
      <c r="J30" s="181"/>
      <c r="K30" s="9"/>
      <c r="L30" s="9"/>
      <c r="M30" s="158"/>
      <c r="N30" s="9"/>
      <c r="O30" s="9"/>
      <c r="P30" s="158"/>
      <c r="Q30" s="9"/>
      <c r="R30" s="9"/>
      <c r="S30" s="158"/>
      <c r="T30" s="9"/>
      <c r="U30" s="9"/>
      <c r="V30" s="158"/>
      <c r="W30" s="155"/>
      <c r="X30" s="155"/>
      <c r="Y30" s="155"/>
      <c r="Z30" s="155"/>
      <c r="AA30" s="155"/>
      <c r="AB30" s="155"/>
      <c r="AC30" s="155"/>
      <c r="AD30" s="155"/>
      <c r="AE30" s="155"/>
      <c r="AF30" s="155"/>
      <c r="AG30" s="155"/>
      <c r="AH30" s="155"/>
      <c r="AI30" s="155"/>
      <c r="AJ30" s="155"/>
      <c r="AK30" s="155"/>
      <c r="AL30" s="155"/>
      <c r="AM30" s="155"/>
      <c r="AN30" s="155"/>
      <c r="AO30" s="155"/>
      <c r="AP30" s="155"/>
      <c r="AQ30" s="155"/>
      <c r="AR30" s="155"/>
      <c r="AS30" s="155"/>
      <c r="AT30" s="155"/>
      <c r="AU30" s="155"/>
      <c r="AV30" s="155"/>
      <c r="AW30" s="155"/>
      <c r="AX30" s="155"/>
      <c r="AY30" s="155"/>
      <c r="AZ30" s="155"/>
    </row>
    <row r="31" spans="1:52" ht="12.75">
      <c r="A31" s="195"/>
      <c r="B31" s="181"/>
      <c r="C31" s="181"/>
      <c r="D31" s="181"/>
      <c r="E31" s="181"/>
      <c r="F31" s="181"/>
      <c r="G31" s="181"/>
      <c r="H31" s="181"/>
      <c r="I31" s="181"/>
      <c r="J31" s="181"/>
      <c r="K31" s="9"/>
      <c r="L31" s="9"/>
      <c r="M31" s="158"/>
      <c r="N31" s="9"/>
      <c r="O31" s="9"/>
      <c r="P31" s="158"/>
      <c r="Q31" s="9"/>
      <c r="R31" s="9"/>
      <c r="S31" s="158"/>
      <c r="T31" s="9"/>
      <c r="U31" s="9"/>
      <c r="V31" s="158"/>
      <c r="W31" s="155"/>
      <c r="X31" s="155"/>
      <c r="Y31" s="155"/>
      <c r="Z31" s="155"/>
      <c r="AA31" s="155"/>
      <c r="AB31" s="155"/>
      <c r="AC31" s="155"/>
      <c r="AD31" s="155"/>
      <c r="AE31" s="155"/>
      <c r="AF31" s="155"/>
      <c r="AG31" s="155"/>
      <c r="AH31" s="155"/>
      <c r="AI31" s="155"/>
      <c r="AJ31" s="155"/>
      <c r="AK31" s="155"/>
      <c r="AL31" s="155"/>
      <c r="AM31" s="155"/>
      <c r="AN31" s="155"/>
      <c r="AO31" s="155"/>
      <c r="AP31" s="155"/>
      <c r="AQ31" s="155"/>
      <c r="AR31" s="155"/>
      <c r="AS31" s="155"/>
      <c r="AT31" s="155"/>
      <c r="AU31" s="155"/>
      <c r="AV31" s="155"/>
      <c r="AW31" s="155"/>
      <c r="AX31" s="155"/>
      <c r="AY31" s="155"/>
      <c r="AZ31" s="155"/>
    </row>
    <row r="32" spans="1:52" ht="12.75">
      <c r="A32" s="197" t="s">
        <v>313</v>
      </c>
      <c r="B32" s="181">
        <f>B10-B30</f>
        <v>5302.32585</v>
      </c>
      <c r="C32" s="181">
        <f aca="true" t="shared" si="1" ref="C32:I32">C10-C30</f>
        <v>4360.76625</v>
      </c>
      <c r="D32" s="181">
        <f t="shared" si="1"/>
        <v>4309.684499999999</v>
      </c>
      <c r="E32" s="181">
        <f t="shared" si="1"/>
        <v>0</v>
      </c>
      <c r="F32" s="181">
        <f t="shared" si="1"/>
        <v>0</v>
      </c>
      <c r="G32" s="181">
        <f t="shared" si="1"/>
        <v>0</v>
      </c>
      <c r="H32" s="181">
        <f t="shared" si="1"/>
        <v>0</v>
      </c>
      <c r="I32" s="181">
        <f t="shared" si="1"/>
        <v>0</v>
      </c>
      <c r="J32" s="181"/>
      <c r="K32" s="9"/>
      <c r="L32" s="9"/>
      <c r="M32" s="158"/>
      <c r="N32" s="9"/>
      <c r="O32" s="9"/>
      <c r="P32" s="158"/>
      <c r="Q32" s="9"/>
      <c r="R32" s="9"/>
      <c r="S32" s="158"/>
      <c r="T32" s="9"/>
      <c r="U32" s="9"/>
      <c r="V32" s="158"/>
      <c r="W32" s="155"/>
      <c r="X32" s="155"/>
      <c r="Y32" s="155"/>
      <c r="Z32" s="155"/>
      <c r="AA32" s="155"/>
      <c r="AB32" s="155"/>
      <c r="AC32" s="155"/>
      <c r="AD32" s="155"/>
      <c r="AE32" s="155"/>
      <c r="AF32" s="155"/>
      <c r="AG32" s="155"/>
      <c r="AH32" s="155"/>
      <c r="AI32" s="155"/>
      <c r="AJ32" s="155"/>
      <c r="AK32" s="155"/>
      <c r="AL32" s="155"/>
      <c r="AM32" s="155"/>
      <c r="AN32" s="155"/>
      <c r="AO32" s="155"/>
      <c r="AP32" s="155"/>
      <c r="AQ32" s="155"/>
      <c r="AR32" s="155"/>
      <c r="AS32" s="155"/>
      <c r="AT32" s="155"/>
      <c r="AU32" s="155"/>
      <c r="AV32" s="155"/>
      <c r="AW32" s="155"/>
      <c r="AX32" s="155"/>
      <c r="AY32" s="155"/>
      <c r="AZ32" s="155"/>
    </row>
    <row r="33" spans="1:52" ht="12.75">
      <c r="A33" s="195"/>
      <c r="B33" s="181"/>
      <c r="C33" s="181"/>
      <c r="D33" s="181"/>
      <c r="E33" s="181"/>
      <c r="F33" s="181"/>
      <c r="G33" s="181"/>
      <c r="H33" s="181"/>
      <c r="I33" s="181"/>
      <c r="J33" s="181"/>
      <c r="K33" s="9"/>
      <c r="L33" s="9"/>
      <c r="M33" s="158"/>
      <c r="N33" s="9"/>
      <c r="O33" s="9"/>
      <c r="P33" s="158"/>
      <c r="Q33" s="9"/>
      <c r="R33" s="9"/>
      <c r="S33" s="158"/>
      <c r="T33" s="9"/>
      <c r="U33" s="9"/>
      <c r="V33" s="158"/>
      <c r="W33" s="155"/>
      <c r="X33" s="155"/>
      <c r="Y33" s="155"/>
      <c r="Z33" s="155"/>
      <c r="AA33" s="155"/>
      <c r="AB33" s="155"/>
      <c r="AC33" s="155"/>
      <c r="AD33" s="155"/>
      <c r="AE33" s="155"/>
      <c r="AF33" s="155"/>
      <c r="AG33" s="155"/>
      <c r="AH33" s="155"/>
      <c r="AI33" s="155"/>
      <c r="AJ33" s="155"/>
      <c r="AK33" s="155"/>
      <c r="AL33" s="155"/>
      <c r="AM33" s="155"/>
      <c r="AN33" s="155"/>
      <c r="AO33" s="155"/>
      <c r="AP33" s="155"/>
      <c r="AQ33" s="155"/>
      <c r="AR33" s="155"/>
      <c r="AS33" s="155"/>
      <c r="AT33" s="155"/>
      <c r="AU33" s="155"/>
      <c r="AV33" s="155"/>
      <c r="AW33" s="155"/>
      <c r="AX33" s="155"/>
      <c r="AY33" s="155"/>
      <c r="AZ33" s="155"/>
    </row>
    <row r="34" spans="1:52" ht="12.75">
      <c r="A34" s="195" t="s">
        <v>332</v>
      </c>
      <c r="B34" s="181">
        <f>IF(Grödor!D$2&gt;1,VLOOKUP(Grödor!D$2,'TB grundkalkyler'!$BE$1:$CE$13,26),0)</f>
        <v>0</v>
      </c>
      <c r="C34" s="181">
        <f>IF(Grödor!E$2&gt;1,VLOOKUP(Grödor!E$2,'TB grundkalkyler'!$BE$1:$CE$13,26),0)</f>
        <v>0</v>
      </c>
      <c r="D34" s="181">
        <f>IF(Grödor!F$2&gt;1,VLOOKUP(Grödor!F$2,'TB grundkalkyler'!$BE$1:$CE$13,26),0)</f>
        <v>0</v>
      </c>
      <c r="E34" s="181">
        <f>IF(Grödor!G$2&gt;1,VLOOKUP(Grödor!G$2,'TB grundkalkyler'!$BE$1:$CE$13,26),0)</f>
        <v>0</v>
      </c>
      <c r="F34" s="181">
        <f>IF(Grödor!H$2&gt;1,VLOOKUP(Grödor!H$2,'TB grundkalkyler'!$BE$1:$CE$13,26),0)</f>
        <v>0</v>
      </c>
      <c r="G34" s="181">
        <f>IF(Grödor!I$2&gt;1,VLOOKUP(Grödor!I$2,'TB grundkalkyler'!$BE$1:$CE$13,26),0)</f>
        <v>0</v>
      </c>
      <c r="H34" s="181">
        <f>IF(Grödor!J$2&gt;1,VLOOKUP(Grödor!J$2,'TB grundkalkyler'!$BE$1:$CE$13,26),0)</f>
        <v>0</v>
      </c>
      <c r="I34" s="181">
        <f>IF(Grödor!K$2&gt;1,VLOOKUP(Grödor!K$2,'TB grundkalkyler'!$BE$1:$CE$13,26),0)</f>
        <v>0</v>
      </c>
      <c r="J34" s="181"/>
      <c r="K34" s="9"/>
      <c r="L34" s="9"/>
      <c r="M34" s="158"/>
      <c r="N34" s="9"/>
      <c r="O34" s="9"/>
      <c r="P34" s="158"/>
      <c r="Q34" s="9"/>
      <c r="R34" s="9"/>
      <c r="S34" s="158"/>
      <c r="T34" s="9"/>
      <c r="U34" s="9"/>
      <c r="V34" s="158"/>
      <c r="W34" s="155"/>
      <c r="X34" s="155"/>
      <c r="Y34" s="155"/>
      <c r="Z34" s="155"/>
      <c r="AA34" s="155"/>
      <c r="AB34" s="155"/>
      <c r="AC34" s="155"/>
      <c r="AD34" s="155"/>
      <c r="AE34" s="155"/>
      <c r="AF34" s="155"/>
      <c r="AG34" s="155"/>
      <c r="AH34" s="155"/>
      <c r="AI34" s="155"/>
      <c r="AJ34" s="155"/>
      <c r="AK34" s="155"/>
      <c r="AL34" s="155"/>
      <c r="AM34" s="155"/>
      <c r="AN34" s="155"/>
      <c r="AO34" s="155"/>
      <c r="AP34" s="155"/>
      <c r="AQ34" s="155"/>
      <c r="AR34" s="155"/>
      <c r="AS34" s="155"/>
      <c r="AT34" s="155"/>
      <c r="AU34" s="155"/>
      <c r="AV34" s="155"/>
      <c r="AW34" s="155"/>
      <c r="AX34" s="155"/>
      <c r="AY34" s="155"/>
      <c r="AZ34" s="155"/>
    </row>
    <row r="35" spans="1:52" ht="12.75">
      <c r="A35" s="195" t="s">
        <v>314</v>
      </c>
      <c r="B35" s="181">
        <f>Grödor!D32</f>
        <v>838.5847853076743</v>
      </c>
      <c r="C35" s="181">
        <f>Grödor!E32</f>
        <v>838.5847853076743</v>
      </c>
      <c r="D35" s="181">
        <f>Grödor!F32</f>
        <v>0</v>
      </c>
      <c r="E35" s="181">
        <f>Grödor!G32</f>
        <v>0</v>
      </c>
      <c r="F35" s="181">
        <f>Grödor!H32</f>
        <v>0</v>
      </c>
      <c r="G35" s="181">
        <f>Grödor!I32</f>
        <v>0</v>
      </c>
      <c r="H35" s="181">
        <f>Grödor!J32</f>
        <v>0</v>
      </c>
      <c r="I35" s="181">
        <f>Grödor!K32</f>
        <v>0</v>
      </c>
      <c r="J35" s="181"/>
      <c r="K35" s="9"/>
      <c r="L35" s="9"/>
      <c r="M35" s="158"/>
      <c r="N35" s="9"/>
      <c r="O35" s="9"/>
      <c r="P35" s="158"/>
      <c r="Q35" s="9"/>
      <c r="R35" s="9"/>
      <c r="S35" s="158"/>
      <c r="T35" s="9"/>
      <c r="U35" s="9"/>
      <c r="V35" s="158"/>
      <c r="W35" s="155"/>
      <c r="X35" s="155"/>
      <c r="Y35" s="155"/>
      <c r="Z35" s="155"/>
      <c r="AA35" s="155"/>
      <c r="AB35" s="155"/>
      <c r="AC35" s="155"/>
      <c r="AD35" s="155"/>
      <c r="AE35" s="155"/>
      <c r="AF35" s="155"/>
      <c r="AG35" s="155"/>
      <c r="AH35" s="155"/>
      <c r="AI35" s="155"/>
      <c r="AJ35" s="155"/>
      <c r="AK35" s="155"/>
      <c r="AL35" s="155"/>
      <c r="AM35" s="155"/>
      <c r="AN35" s="155"/>
      <c r="AO35" s="155"/>
      <c r="AP35" s="155"/>
      <c r="AQ35" s="155"/>
      <c r="AR35" s="155"/>
      <c r="AS35" s="155"/>
      <c r="AT35" s="155"/>
      <c r="AU35" s="155"/>
      <c r="AV35" s="155"/>
      <c r="AW35" s="155"/>
      <c r="AX35" s="155"/>
      <c r="AY35" s="155"/>
      <c r="AZ35" s="155"/>
    </row>
    <row r="36" spans="1:52" ht="12.75">
      <c r="A36" s="195"/>
      <c r="B36" s="182"/>
      <c r="C36" s="182"/>
      <c r="D36" s="182"/>
      <c r="E36" s="182"/>
      <c r="F36" s="182"/>
      <c r="G36" s="182"/>
      <c r="H36" s="182"/>
      <c r="I36" s="182"/>
      <c r="J36" s="182"/>
      <c r="K36" s="9"/>
      <c r="L36" s="9"/>
      <c r="M36" s="159"/>
      <c r="N36" s="9"/>
      <c r="O36" s="9"/>
      <c r="P36" s="159"/>
      <c r="Q36" s="9"/>
      <c r="R36" s="9"/>
      <c r="S36" s="159"/>
      <c r="T36" s="9"/>
      <c r="U36" s="9"/>
      <c r="V36" s="159"/>
      <c r="W36" s="155"/>
      <c r="X36" s="155"/>
      <c r="Y36" s="155"/>
      <c r="Z36" s="155"/>
      <c r="AA36" s="155"/>
      <c r="AB36" s="155"/>
      <c r="AC36" s="155"/>
      <c r="AD36" s="155"/>
      <c r="AE36" s="155"/>
      <c r="AF36" s="155"/>
      <c r="AG36" s="155"/>
      <c r="AH36" s="155"/>
      <c r="AI36" s="155"/>
      <c r="AJ36" s="155"/>
      <c r="AK36" s="155"/>
      <c r="AL36" s="155"/>
      <c r="AM36" s="155"/>
      <c r="AN36" s="155"/>
      <c r="AO36" s="155"/>
      <c r="AP36" s="155"/>
      <c r="AQ36" s="155"/>
      <c r="AR36" s="155"/>
      <c r="AS36" s="155"/>
      <c r="AT36" s="155"/>
      <c r="AU36" s="155"/>
      <c r="AV36" s="155"/>
      <c r="AW36" s="155"/>
      <c r="AX36" s="155"/>
      <c r="AY36" s="155"/>
      <c r="AZ36" s="155"/>
    </row>
    <row r="37" spans="1:52" ht="12.75">
      <c r="A37" s="197" t="s">
        <v>320</v>
      </c>
      <c r="B37" s="181">
        <f>B32-B34-B35</f>
        <v>4463.741064692325</v>
      </c>
      <c r="C37" s="181">
        <f aca="true" t="shared" si="2" ref="C37:I37">C32-C34-C35</f>
        <v>3522.1814646923253</v>
      </c>
      <c r="D37" s="181">
        <f t="shared" si="2"/>
        <v>4309.684499999999</v>
      </c>
      <c r="E37" s="181">
        <f t="shared" si="2"/>
        <v>0</v>
      </c>
      <c r="F37" s="181">
        <f t="shared" si="2"/>
        <v>0</v>
      </c>
      <c r="G37" s="181">
        <f t="shared" si="2"/>
        <v>0</v>
      </c>
      <c r="H37" s="181">
        <f t="shared" si="2"/>
        <v>0</v>
      </c>
      <c r="I37" s="181">
        <f t="shared" si="2"/>
        <v>0</v>
      </c>
      <c r="J37" s="193">
        <f>J39/J4</f>
        <v>4098.53567646155</v>
      </c>
      <c r="K37" s="9"/>
      <c r="L37" s="9"/>
      <c r="M37" s="158"/>
      <c r="N37" s="9"/>
      <c r="O37" s="9"/>
      <c r="P37" s="158"/>
      <c r="Q37" s="9"/>
      <c r="R37" s="9"/>
      <c r="S37" s="158"/>
      <c r="T37" s="9"/>
      <c r="U37" s="9"/>
      <c r="V37" s="158"/>
      <c r="W37" s="156"/>
      <c r="X37" s="155"/>
      <c r="Y37" s="155"/>
      <c r="Z37" s="155"/>
      <c r="AA37" s="155"/>
      <c r="AB37" s="155"/>
      <c r="AC37" s="155"/>
      <c r="AD37" s="155"/>
      <c r="AE37" s="155"/>
      <c r="AF37" s="155"/>
      <c r="AG37" s="155"/>
      <c r="AH37" s="155"/>
      <c r="AI37" s="155"/>
      <c r="AJ37" s="155"/>
      <c r="AK37" s="155"/>
      <c r="AL37" s="155"/>
      <c r="AM37" s="155"/>
      <c r="AN37" s="155"/>
      <c r="AO37" s="155"/>
      <c r="AP37" s="155"/>
      <c r="AQ37" s="155"/>
      <c r="AR37" s="155"/>
      <c r="AS37" s="155"/>
      <c r="AT37" s="155"/>
      <c r="AU37" s="155"/>
      <c r="AV37" s="155"/>
      <c r="AW37" s="155"/>
      <c r="AX37" s="155"/>
      <c r="AY37" s="155"/>
      <c r="AZ37" s="155"/>
    </row>
    <row r="38" spans="1:52" ht="12.75">
      <c r="A38" s="195"/>
      <c r="B38" s="182"/>
      <c r="C38" s="182"/>
      <c r="D38" s="182"/>
      <c r="E38" s="182"/>
      <c r="F38" s="182"/>
      <c r="G38" s="182"/>
      <c r="H38" s="182"/>
      <c r="I38" s="182"/>
      <c r="J38" s="182"/>
      <c r="K38" s="9"/>
      <c r="L38" s="9"/>
      <c r="M38" s="159"/>
      <c r="N38" s="9"/>
      <c r="O38" s="9"/>
      <c r="P38" s="159"/>
      <c r="Q38" s="9"/>
      <c r="R38" s="9"/>
      <c r="S38" s="159"/>
      <c r="T38" s="9"/>
      <c r="U38" s="9"/>
      <c r="V38" s="159"/>
      <c r="W38" s="155"/>
      <c r="X38" s="155"/>
      <c r="Y38" s="155"/>
      <c r="Z38" s="155"/>
      <c r="AA38" s="155"/>
      <c r="AB38" s="155"/>
      <c r="AC38" s="155"/>
      <c r="AD38" s="155"/>
      <c r="AE38" s="155"/>
      <c r="AF38" s="155"/>
      <c r="AG38" s="155"/>
      <c r="AH38" s="155"/>
      <c r="AI38" s="155"/>
      <c r="AJ38" s="155"/>
      <c r="AK38" s="155"/>
      <c r="AL38" s="155"/>
      <c r="AM38" s="155"/>
      <c r="AN38" s="155"/>
      <c r="AO38" s="155"/>
      <c r="AP38" s="155"/>
      <c r="AQ38" s="155"/>
      <c r="AR38" s="155"/>
      <c r="AS38" s="155"/>
      <c r="AT38" s="155"/>
      <c r="AU38" s="155"/>
      <c r="AV38" s="155"/>
      <c r="AW38" s="155"/>
      <c r="AX38" s="155"/>
      <c r="AY38" s="155"/>
      <c r="AZ38" s="155"/>
    </row>
    <row r="39" spans="1:52" ht="12.75">
      <c r="A39" s="197" t="s">
        <v>322</v>
      </c>
      <c r="B39" s="181">
        <f>B4*B37</f>
        <v>446374.10646923253</v>
      </c>
      <c r="C39" s="181">
        <f aca="true" t="shared" si="3" ref="C39:I39">C4*C37</f>
        <v>352218.1464692325</v>
      </c>
      <c r="D39" s="181">
        <f t="shared" si="3"/>
        <v>430968.44999999995</v>
      </c>
      <c r="E39" s="181">
        <f t="shared" si="3"/>
        <v>0</v>
      </c>
      <c r="F39" s="181">
        <f t="shared" si="3"/>
        <v>0</v>
      </c>
      <c r="G39" s="181">
        <f t="shared" si="3"/>
        <v>0</v>
      </c>
      <c r="H39" s="181">
        <f t="shared" si="3"/>
        <v>0</v>
      </c>
      <c r="I39" s="181">
        <f t="shared" si="3"/>
        <v>0</v>
      </c>
      <c r="J39" s="193">
        <f>SUM(B39:I39)</f>
        <v>1229560.702938465</v>
      </c>
      <c r="K39" s="41"/>
      <c r="L39" s="41"/>
      <c r="M39" s="158"/>
      <c r="N39" s="41"/>
      <c r="O39" s="41"/>
      <c r="P39" s="158"/>
      <c r="Q39" s="41"/>
      <c r="R39" s="41"/>
      <c r="S39" s="158"/>
      <c r="T39" s="41"/>
      <c r="U39" s="41"/>
      <c r="V39" s="158"/>
      <c r="W39" s="156"/>
      <c r="X39" s="155"/>
      <c r="Y39" s="155"/>
      <c r="Z39" s="155"/>
      <c r="AA39" s="155"/>
      <c r="AB39" s="155"/>
      <c r="AC39" s="155"/>
      <c r="AD39" s="155"/>
      <c r="AE39" s="155"/>
      <c r="AF39" s="155"/>
      <c r="AG39" s="155"/>
      <c r="AH39" s="155"/>
      <c r="AI39" s="155"/>
      <c r="AJ39" s="155"/>
      <c r="AK39" s="155"/>
      <c r="AL39" s="155"/>
      <c r="AM39" s="155"/>
      <c r="AN39" s="155"/>
      <c r="AO39" s="155"/>
      <c r="AP39" s="155"/>
      <c r="AQ39" s="155"/>
      <c r="AR39" s="155"/>
      <c r="AS39" s="155"/>
      <c r="AT39" s="155"/>
      <c r="AU39" s="155"/>
      <c r="AV39" s="155"/>
      <c r="AW39" s="155"/>
      <c r="AX39" s="155"/>
      <c r="AY39" s="155"/>
      <c r="AZ39" s="155"/>
    </row>
    <row r="40" spans="2:52" ht="12.75">
      <c r="B40" s="155"/>
      <c r="C40" s="155"/>
      <c r="D40" s="155"/>
      <c r="E40" s="155"/>
      <c r="F40" s="155"/>
      <c r="G40" s="155"/>
      <c r="H40" s="155"/>
      <c r="I40" s="155"/>
      <c r="J40" s="155"/>
      <c r="K40" s="155"/>
      <c r="L40" s="155"/>
      <c r="M40" s="155"/>
      <c r="N40" s="155"/>
      <c r="O40" s="155"/>
      <c r="P40" s="155"/>
      <c r="Q40" s="155"/>
      <c r="R40" s="155"/>
      <c r="S40" s="155"/>
      <c r="T40" s="155"/>
      <c r="U40" s="155"/>
      <c r="V40" s="155"/>
      <c r="W40" s="155"/>
      <c r="X40" s="155"/>
      <c r="Y40" s="155"/>
      <c r="Z40" s="155"/>
      <c r="AA40" s="155"/>
      <c r="AB40" s="155"/>
      <c r="AC40" s="155"/>
      <c r="AD40" s="155"/>
      <c r="AE40" s="155"/>
      <c r="AF40" s="155"/>
      <c r="AG40" s="155"/>
      <c r="AH40" s="155"/>
      <c r="AI40" s="155"/>
      <c r="AJ40" s="155"/>
      <c r="AK40" s="155"/>
      <c r="AL40" s="155"/>
      <c r="AM40" s="155"/>
      <c r="AN40" s="155"/>
      <c r="AO40" s="155"/>
      <c r="AP40" s="155"/>
      <c r="AQ40" s="155"/>
      <c r="AR40" s="155"/>
      <c r="AS40" s="155"/>
      <c r="AT40" s="155"/>
      <c r="AU40" s="155"/>
      <c r="AV40" s="155"/>
      <c r="AW40" s="155"/>
      <c r="AX40" s="155"/>
      <c r="AY40" s="155"/>
      <c r="AZ40" s="155"/>
    </row>
    <row r="41" spans="2:52" ht="12.75">
      <c r="B41" s="155"/>
      <c r="C41" s="155"/>
      <c r="D41" s="155"/>
      <c r="E41" s="155"/>
      <c r="F41" s="155"/>
      <c r="G41" s="155"/>
      <c r="H41" s="155"/>
      <c r="I41" s="155"/>
      <c r="J41" s="155"/>
      <c r="K41" s="155"/>
      <c r="L41" s="155"/>
      <c r="M41" s="155"/>
      <c r="N41" s="155"/>
      <c r="O41" s="155"/>
      <c r="P41" s="155"/>
      <c r="Q41" s="155"/>
      <c r="R41" s="155"/>
      <c r="S41" s="155"/>
      <c r="T41" s="155"/>
      <c r="U41" s="155"/>
      <c r="V41" s="155"/>
      <c r="W41" s="155"/>
      <c r="X41" s="155"/>
      <c r="Y41" s="155"/>
      <c r="Z41" s="155"/>
      <c r="AA41" s="155"/>
      <c r="AB41" s="155"/>
      <c r="AC41" s="155"/>
      <c r="AD41" s="155"/>
      <c r="AE41" s="155"/>
      <c r="AF41" s="155"/>
      <c r="AG41" s="155"/>
      <c r="AH41" s="155"/>
      <c r="AI41" s="155"/>
      <c r="AJ41" s="155"/>
      <c r="AK41" s="155"/>
      <c r="AL41" s="155"/>
      <c r="AM41" s="155"/>
      <c r="AN41" s="155"/>
      <c r="AO41" s="155"/>
      <c r="AP41" s="155"/>
      <c r="AQ41" s="155"/>
      <c r="AR41" s="155"/>
      <c r="AS41" s="155"/>
      <c r="AT41" s="155"/>
      <c r="AU41" s="155"/>
      <c r="AV41" s="155"/>
      <c r="AW41" s="155"/>
      <c r="AX41" s="155"/>
      <c r="AY41" s="155"/>
      <c r="AZ41" s="155"/>
    </row>
    <row r="42" spans="2:52" ht="12.75">
      <c r="B42" s="155"/>
      <c r="C42" s="155"/>
      <c r="D42" s="155"/>
      <c r="E42" s="155"/>
      <c r="F42" s="155"/>
      <c r="G42" s="155"/>
      <c r="H42" s="155"/>
      <c r="I42" s="155"/>
      <c r="J42" s="155"/>
      <c r="K42" s="155"/>
      <c r="L42" s="155"/>
      <c r="M42" s="155"/>
      <c r="N42" s="155"/>
      <c r="O42" s="155"/>
      <c r="P42" s="155"/>
      <c r="Q42" s="155"/>
      <c r="R42" s="155"/>
      <c r="S42" s="155"/>
      <c r="T42" s="155"/>
      <c r="U42" s="155"/>
      <c r="V42" s="155"/>
      <c r="W42" s="155"/>
      <c r="X42" s="155"/>
      <c r="Y42" s="155"/>
      <c r="Z42" s="155"/>
      <c r="AA42" s="155"/>
      <c r="AB42" s="155"/>
      <c r="AC42" s="155"/>
      <c r="AD42" s="155"/>
      <c r="AE42" s="155"/>
      <c r="AF42" s="155"/>
      <c r="AG42" s="155"/>
      <c r="AH42" s="155"/>
      <c r="AI42" s="155"/>
      <c r="AJ42" s="155"/>
      <c r="AK42" s="155"/>
      <c r="AL42" s="155"/>
      <c r="AM42" s="155"/>
      <c r="AN42" s="155"/>
      <c r="AO42" s="155"/>
      <c r="AP42" s="155"/>
      <c r="AQ42" s="155"/>
      <c r="AR42" s="155"/>
      <c r="AS42" s="155"/>
      <c r="AT42" s="155"/>
      <c r="AU42" s="155"/>
      <c r="AV42" s="155"/>
      <c r="AW42" s="155"/>
      <c r="AX42" s="155"/>
      <c r="AY42" s="155"/>
      <c r="AZ42" s="155"/>
    </row>
    <row r="43" spans="2:52" ht="12.75">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c r="AD43" s="155"/>
      <c r="AE43" s="155"/>
      <c r="AF43" s="155"/>
      <c r="AG43" s="155"/>
      <c r="AH43" s="155"/>
      <c r="AI43" s="155"/>
      <c r="AJ43" s="155"/>
      <c r="AK43" s="155"/>
      <c r="AL43" s="155"/>
      <c r="AM43" s="155"/>
      <c r="AN43" s="155"/>
      <c r="AO43" s="155"/>
      <c r="AP43" s="155"/>
      <c r="AQ43" s="155"/>
      <c r="AR43" s="155"/>
      <c r="AS43" s="155"/>
      <c r="AT43" s="155"/>
      <c r="AU43" s="155"/>
      <c r="AV43" s="155"/>
      <c r="AW43" s="155"/>
      <c r="AX43" s="155"/>
      <c r="AY43" s="155"/>
      <c r="AZ43" s="155"/>
    </row>
    <row r="44" spans="2:52" ht="12.75">
      <c r="B44" s="155"/>
      <c r="C44" s="155"/>
      <c r="D44" s="155"/>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5"/>
      <c r="AD44" s="155"/>
      <c r="AE44" s="155"/>
      <c r="AF44" s="155"/>
      <c r="AG44" s="155"/>
      <c r="AH44" s="155"/>
      <c r="AI44" s="155"/>
      <c r="AJ44" s="155"/>
      <c r="AK44" s="155"/>
      <c r="AL44" s="155"/>
      <c r="AM44" s="155"/>
      <c r="AN44" s="155"/>
      <c r="AO44" s="155"/>
      <c r="AP44" s="155"/>
      <c r="AQ44" s="155"/>
      <c r="AR44" s="155"/>
      <c r="AS44" s="155"/>
      <c r="AT44" s="155"/>
      <c r="AU44" s="155"/>
      <c r="AV44" s="155"/>
      <c r="AW44" s="155"/>
      <c r="AX44" s="155"/>
      <c r="AY44" s="155"/>
      <c r="AZ44" s="155"/>
    </row>
    <row r="45" spans="2:52" ht="12.75">
      <c r="B45" s="155"/>
      <c r="C45" s="155" t="e">
        <v>#REF!</v>
      </c>
      <c r="D45" s="155"/>
      <c r="E45" s="155"/>
      <c r="F45" s="155"/>
      <c r="G45" s="155"/>
      <c r="H45" s="155"/>
      <c r="I45" s="155"/>
      <c r="J45" s="155"/>
      <c r="K45" s="155"/>
      <c r="L45" s="155"/>
      <c r="M45" s="155"/>
      <c r="N45" s="155"/>
      <c r="O45" s="155"/>
      <c r="P45" s="155"/>
      <c r="Q45" s="155"/>
      <c r="R45" s="155"/>
      <c r="S45" s="155"/>
      <c r="T45" s="155"/>
      <c r="U45" s="155"/>
      <c r="V45" s="155"/>
      <c r="W45" s="155"/>
      <c r="X45" s="155"/>
      <c r="Y45" s="155"/>
      <c r="Z45" s="155"/>
      <c r="AA45" s="155"/>
      <c r="AB45" s="155"/>
      <c r="AC45" s="155"/>
      <c r="AD45" s="155"/>
      <c r="AE45" s="155"/>
      <c r="AF45" s="155"/>
      <c r="AG45" s="155"/>
      <c r="AH45" s="155"/>
      <c r="AI45" s="155"/>
      <c r="AJ45" s="155"/>
      <c r="AK45" s="155"/>
      <c r="AL45" s="155"/>
      <c r="AM45" s="155"/>
      <c r="AN45" s="155"/>
      <c r="AO45" s="155"/>
      <c r="AP45" s="155"/>
      <c r="AQ45" s="155"/>
      <c r="AR45" s="155"/>
      <c r="AS45" s="155"/>
      <c r="AT45" s="155"/>
      <c r="AU45" s="155"/>
      <c r="AV45" s="155"/>
      <c r="AW45" s="155"/>
      <c r="AX45" s="155"/>
      <c r="AY45" s="155"/>
      <c r="AZ45" s="155"/>
    </row>
    <row r="46" spans="2:52" ht="12.75">
      <c r="B46" s="155"/>
      <c r="C46" s="155">
        <f>IF(AND(Grödor!F2=3,Grödor!F3=3),-500,0)</f>
        <v>0</v>
      </c>
      <c r="D46" s="155"/>
      <c r="E46" s="155"/>
      <c r="F46" s="155"/>
      <c r="G46" s="155"/>
      <c r="H46" s="155"/>
      <c r="I46" s="155"/>
      <c r="J46" s="155"/>
      <c r="K46" s="155"/>
      <c r="L46" s="155"/>
      <c r="M46" s="155"/>
      <c r="N46" s="155"/>
      <c r="O46" s="155"/>
      <c r="P46" s="155"/>
      <c r="Q46" s="155"/>
      <c r="R46" s="155"/>
      <c r="S46" s="155"/>
      <c r="T46" s="155"/>
      <c r="U46" s="155"/>
      <c r="V46" s="155"/>
      <c r="W46" s="155"/>
      <c r="X46" s="155"/>
      <c r="Y46" s="155"/>
      <c r="Z46" s="155"/>
      <c r="AA46" s="155"/>
      <c r="AB46" s="155"/>
      <c r="AC46" s="155"/>
      <c r="AD46" s="155"/>
      <c r="AE46" s="155"/>
      <c r="AF46" s="155"/>
      <c r="AG46" s="155"/>
      <c r="AH46" s="155"/>
      <c r="AI46" s="155"/>
      <c r="AJ46" s="155"/>
      <c r="AK46" s="155"/>
      <c r="AL46" s="155"/>
      <c r="AM46" s="155"/>
      <c r="AN46" s="155"/>
      <c r="AO46" s="155"/>
      <c r="AP46" s="155"/>
      <c r="AQ46" s="155"/>
      <c r="AR46" s="155"/>
      <c r="AS46" s="155"/>
      <c r="AT46" s="155"/>
      <c r="AU46" s="155"/>
      <c r="AV46" s="155"/>
      <c r="AW46" s="155"/>
      <c r="AX46" s="155"/>
      <c r="AY46" s="155"/>
      <c r="AZ46" s="155"/>
    </row>
    <row r="47" spans="2:52" ht="12.75">
      <c r="B47" s="155"/>
      <c r="C47" s="155" t="b">
        <f>AND(C23&gt;0,C23&lt;1000)</f>
        <v>1</v>
      </c>
      <c r="D47" s="155"/>
      <c r="E47" s="155"/>
      <c r="F47" s="155"/>
      <c r="G47" s="155"/>
      <c r="H47" s="155"/>
      <c r="I47" s="155"/>
      <c r="J47" s="155"/>
      <c r="K47" s="155"/>
      <c r="L47" s="155"/>
      <c r="M47" s="155"/>
      <c r="N47" s="155"/>
      <c r="O47" s="155"/>
      <c r="P47" s="155"/>
      <c r="Q47" s="155"/>
      <c r="R47" s="155"/>
      <c r="S47" s="155"/>
      <c r="T47" s="155"/>
      <c r="U47" s="155"/>
      <c r="V47" s="155"/>
      <c r="W47" s="155"/>
      <c r="X47" s="155"/>
      <c r="Y47" s="155"/>
      <c r="Z47" s="155"/>
      <c r="AA47" s="155"/>
      <c r="AB47" s="155"/>
      <c r="AC47" s="155"/>
      <c r="AD47" s="155"/>
      <c r="AE47" s="155"/>
      <c r="AF47" s="155"/>
      <c r="AG47" s="155"/>
      <c r="AH47" s="155"/>
      <c r="AI47" s="155"/>
      <c r="AJ47" s="155"/>
      <c r="AK47" s="155"/>
      <c r="AL47" s="155"/>
      <c r="AM47" s="155"/>
      <c r="AN47" s="155"/>
      <c r="AO47" s="155"/>
      <c r="AP47" s="155"/>
      <c r="AQ47" s="155"/>
      <c r="AR47" s="155"/>
      <c r="AS47" s="155"/>
      <c r="AT47" s="155"/>
      <c r="AU47" s="155"/>
      <c r="AV47" s="155"/>
      <c r="AW47" s="155"/>
      <c r="AX47" s="155"/>
      <c r="AY47" s="155"/>
      <c r="AZ47" s="155"/>
    </row>
    <row r="48" spans="2:52" ht="12.75">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c r="AG48" s="155"/>
      <c r="AH48" s="155"/>
      <c r="AI48" s="155"/>
      <c r="AJ48" s="155"/>
      <c r="AK48" s="155"/>
      <c r="AL48" s="155"/>
      <c r="AM48" s="155"/>
      <c r="AN48" s="155"/>
      <c r="AO48" s="155"/>
      <c r="AP48" s="155"/>
      <c r="AQ48" s="155"/>
      <c r="AR48" s="155"/>
      <c r="AS48" s="155"/>
      <c r="AT48" s="155"/>
      <c r="AU48" s="155"/>
      <c r="AV48" s="155"/>
      <c r="AW48" s="155"/>
      <c r="AX48" s="155"/>
      <c r="AY48" s="155"/>
      <c r="AZ48" s="155"/>
    </row>
    <row r="49" spans="2:52" ht="12.75">
      <c r="B49" s="155"/>
      <c r="C49" s="155"/>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55"/>
      <c r="AG49" s="155"/>
      <c r="AH49" s="155"/>
      <c r="AI49" s="155"/>
      <c r="AJ49" s="155"/>
      <c r="AK49" s="155"/>
      <c r="AL49" s="155"/>
      <c r="AM49" s="155"/>
      <c r="AN49" s="155"/>
      <c r="AO49" s="155"/>
      <c r="AP49" s="155"/>
      <c r="AQ49" s="155"/>
      <c r="AR49" s="155"/>
      <c r="AS49" s="155"/>
      <c r="AT49" s="155"/>
      <c r="AU49" s="155"/>
      <c r="AV49" s="155"/>
      <c r="AW49" s="155"/>
      <c r="AX49" s="155"/>
      <c r="AY49" s="155"/>
      <c r="AZ49" s="155"/>
    </row>
    <row r="50" spans="2:52" ht="12.75">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c r="AD50" s="155"/>
      <c r="AE50" s="155"/>
      <c r="AF50" s="155"/>
      <c r="AG50" s="155"/>
      <c r="AH50" s="155"/>
      <c r="AI50" s="155"/>
      <c r="AJ50" s="155"/>
      <c r="AK50" s="155"/>
      <c r="AL50" s="155"/>
      <c r="AM50" s="155"/>
      <c r="AN50" s="155"/>
      <c r="AO50" s="155"/>
      <c r="AP50" s="155"/>
      <c r="AQ50" s="155"/>
      <c r="AR50" s="155"/>
      <c r="AS50" s="155"/>
      <c r="AT50" s="155"/>
      <c r="AU50" s="155"/>
      <c r="AV50" s="155"/>
      <c r="AW50" s="155"/>
      <c r="AX50" s="155"/>
      <c r="AY50" s="155"/>
      <c r="AZ50" s="155"/>
    </row>
    <row r="51" spans="2:52" ht="12.75">
      <c r="B51" s="155"/>
      <c r="C51" s="155"/>
      <c r="D51" s="155"/>
      <c r="E51" s="155"/>
      <c r="F51" s="155"/>
      <c r="G51" s="155"/>
      <c r="H51" s="155"/>
      <c r="I51" s="155"/>
      <c r="J51" s="155"/>
      <c r="K51" s="155"/>
      <c r="L51" s="155"/>
      <c r="M51" s="155"/>
      <c r="N51" s="155"/>
      <c r="O51" s="155"/>
      <c r="P51" s="155"/>
      <c r="Q51" s="155"/>
      <c r="R51" s="155"/>
      <c r="S51" s="155"/>
      <c r="T51" s="155"/>
      <c r="U51" s="155"/>
      <c r="V51" s="155"/>
      <c r="W51" s="155"/>
      <c r="X51" s="155"/>
      <c r="Y51" s="155"/>
      <c r="Z51" s="155"/>
      <c r="AA51" s="155"/>
      <c r="AB51" s="155"/>
      <c r="AC51" s="155"/>
      <c r="AD51" s="155"/>
      <c r="AE51" s="155"/>
      <c r="AF51" s="155"/>
      <c r="AG51" s="155"/>
      <c r="AH51" s="155"/>
      <c r="AI51" s="155"/>
      <c r="AJ51" s="155"/>
      <c r="AK51" s="155"/>
      <c r="AL51" s="155"/>
      <c r="AM51" s="155"/>
      <c r="AN51" s="155"/>
      <c r="AO51" s="155"/>
      <c r="AP51" s="155"/>
      <c r="AQ51" s="155"/>
      <c r="AR51" s="155"/>
      <c r="AS51" s="155"/>
      <c r="AT51" s="155"/>
      <c r="AU51" s="155"/>
      <c r="AV51" s="155"/>
      <c r="AW51" s="155"/>
      <c r="AX51" s="155"/>
      <c r="AY51" s="155"/>
      <c r="AZ51" s="155"/>
    </row>
    <row r="52" spans="2:52" ht="12.75">
      <c r="B52" s="155"/>
      <c r="C52" s="155"/>
      <c r="D52" s="155"/>
      <c r="E52" s="155"/>
      <c r="F52" s="155"/>
      <c r="G52" s="155"/>
      <c r="H52" s="155"/>
      <c r="I52" s="155"/>
      <c r="J52" s="155"/>
      <c r="K52" s="155"/>
      <c r="L52" s="155"/>
      <c r="M52" s="155"/>
      <c r="N52" s="155"/>
      <c r="O52" s="155"/>
      <c r="P52" s="155"/>
      <c r="Q52" s="155"/>
      <c r="R52" s="155"/>
      <c r="S52" s="155"/>
      <c r="T52" s="155"/>
      <c r="U52" s="155"/>
      <c r="V52" s="155"/>
      <c r="W52" s="155"/>
      <c r="X52" s="155"/>
      <c r="Y52" s="155"/>
      <c r="Z52" s="155"/>
      <c r="AA52" s="155"/>
      <c r="AB52" s="155"/>
      <c r="AC52" s="155"/>
      <c r="AD52" s="155"/>
      <c r="AE52" s="155"/>
      <c r="AF52" s="155"/>
      <c r="AG52" s="155"/>
      <c r="AH52" s="155"/>
      <c r="AI52" s="155"/>
      <c r="AJ52" s="155"/>
      <c r="AK52" s="155"/>
      <c r="AL52" s="155"/>
      <c r="AM52" s="155"/>
      <c r="AN52" s="155"/>
      <c r="AO52" s="155"/>
      <c r="AP52" s="155"/>
      <c r="AQ52" s="155"/>
      <c r="AR52" s="155"/>
      <c r="AS52" s="155"/>
      <c r="AT52" s="155"/>
      <c r="AU52" s="155"/>
      <c r="AV52" s="155"/>
      <c r="AW52" s="155"/>
      <c r="AX52" s="155"/>
      <c r="AY52" s="155"/>
      <c r="AZ52" s="155"/>
    </row>
    <row r="53" spans="2:52" ht="12.75">
      <c r="B53" s="155"/>
      <c r="C53" s="155"/>
      <c r="D53" s="155"/>
      <c r="E53" s="155"/>
      <c r="F53" s="155"/>
      <c r="G53" s="155"/>
      <c r="H53" s="155"/>
      <c r="I53" s="155"/>
      <c r="J53" s="155"/>
      <c r="K53" s="155"/>
      <c r="L53" s="155"/>
      <c r="M53" s="155"/>
      <c r="N53" s="155"/>
      <c r="O53" s="155"/>
      <c r="P53" s="155"/>
      <c r="Q53" s="155"/>
      <c r="R53" s="155"/>
      <c r="S53" s="155"/>
      <c r="T53" s="155"/>
      <c r="U53" s="155"/>
      <c r="V53" s="155"/>
      <c r="W53" s="155"/>
      <c r="X53" s="155"/>
      <c r="Y53" s="155"/>
      <c r="Z53" s="155"/>
      <c r="AA53" s="155"/>
      <c r="AB53" s="155"/>
      <c r="AC53" s="155"/>
      <c r="AD53" s="155"/>
      <c r="AE53" s="155"/>
      <c r="AF53" s="155"/>
      <c r="AG53" s="155"/>
      <c r="AH53" s="155"/>
      <c r="AI53" s="155"/>
      <c r="AJ53" s="155"/>
      <c r="AK53" s="155"/>
      <c r="AL53" s="155"/>
      <c r="AM53" s="155"/>
      <c r="AN53" s="155"/>
      <c r="AO53" s="155"/>
      <c r="AP53" s="155"/>
      <c r="AQ53" s="155"/>
      <c r="AR53" s="155"/>
      <c r="AS53" s="155"/>
      <c r="AT53" s="155"/>
      <c r="AU53" s="155"/>
      <c r="AV53" s="155"/>
      <c r="AW53" s="155"/>
      <c r="AX53" s="155"/>
      <c r="AY53" s="155"/>
      <c r="AZ53" s="155"/>
    </row>
    <row r="54" spans="2:52" ht="12.75">
      <c r="B54" s="155"/>
      <c r="C54" s="155"/>
      <c r="D54" s="155"/>
      <c r="E54" s="155"/>
      <c r="F54" s="155"/>
      <c r="G54" s="155"/>
      <c r="H54" s="155"/>
      <c r="I54" s="155"/>
      <c r="J54" s="155"/>
      <c r="K54" s="155"/>
      <c r="L54" s="155"/>
      <c r="M54" s="155"/>
      <c r="N54" s="155"/>
      <c r="O54" s="155"/>
      <c r="P54" s="155"/>
      <c r="Q54" s="155"/>
      <c r="R54" s="155"/>
      <c r="S54" s="155"/>
      <c r="T54" s="155"/>
      <c r="U54" s="155"/>
      <c r="V54" s="155"/>
      <c r="W54" s="155"/>
      <c r="X54" s="155"/>
      <c r="Y54" s="155"/>
      <c r="Z54" s="155"/>
      <c r="AA54" s="155"/>
      <c r="AB54" s="155"/>
      <c r="AC54" s="155"/>
      <c r="AD54" s="155"/>
      <c r="AE54" s="155"/>
      <c r="AF54" s="155"/>
      <c r="AG54" s="155"/>
      <c r="AH54" s="155"/>
      <c r="AI54" s="155"/>
      <c r="AJ54" s="155"/>
      <c r="AK54" s="155"/>
      <c r="AL54" s="155"/>
      <c r="AM54" s="155"/>
      <c r="AN54" s="155"/>
      <c r="AO54" s="155"/>
      <c r="AP54" s="155"/>
      <c r="AQ54" s="155"/>
      <c r="AR54" s="155"/>
      <c r="AS54" s="155"/>
      <c r="AT54" s="155"/>
      <c r="AU54" s="155"/>
      <c r="AV54" s="155"/>
      <c r="AW54" s="155"/>
      <c r="AX54" s="155"/>
      <c r="AY54" s="155"/>
      <c r="AZ54" s="155"/>
    </row>
  </sheetData>
  <sheetProtection selectLockedCells="1"/>
  <printOptions/>
  <pageMargins left="0.7480314960629921" right="0.7480314960629921" top="0.7874015748031497" bottom="0" header="0.5118110236220472" footer="0.5118110236220472"/>
  <pageSetup horizontalDpi="600" verticalDpi="600" orientation="landscape" paperSize="9"/>
</worksheet>
</file>

<file path=xl/worksheets/sheet9.xml><?xml version="1.0" encoding="utf-8"?>
<worksheet xmlns="http://schemas.openxmlformats.org/spreadsheetml/2006/main" xmlns:r="http://schemas.openxmlformats.org/officeDocument/2006/relationships">
  <sheetPr codeName="Sheet5"/>
  <dimension ref="A1:F21"/>
  <sheetViews>
    <sheetView zoomScalePageLayoutView="0" workbookViewId="0" topLeftCell="A1">
      <selection activeCell="D4" sqref="D4"/>
    </sheetView>
  </sheetViews>
  <sheetFormatPr defaultColWidth="8.8515625" defaultRowHeight="12.75"/>
  <cols>
    <col min="1" max="1" width="8.8515625" style="0" customWidth="1"/>
    <col min="2" max="2" width="13.8515625" style="0" customWidth="1"/>
    <col min="3" max="3" width="12.421875" style="0" customWidth="1"/>
  </cols>
  <sheetData>
    <row r="1" spans="2:6" ht="12.75">
      <c r="B1" t="s">
        <v>214</v>
      </c>
      <c r="C1" t="s">
        <v>129</v>
      </c>
      <c r="D1" t="s">
        <v>215</v>
      </c>
      <c r="F1" t="s">
        <v>216</v>
      </c>
    </row>
    <row r="2" spans="1:6" ht="12.75">
      <c r="A2" s="17">
        <v>1</v>
      </c>
      <c r="B2" s="18" t="s">
        <v>357</v>
      </c>
      <c r="C2" s="23">
        <v>0</v>
      </c>
      <c r="D2" s="19">
        <v>0</v>
      </c>
      <c r="E2" s="18"/>
      <c r="F2" s="20">
        <v>0</v>
      </c>
    </row>
    <row r="3" spans="1:6" ht="12.75">
      <c r="A3" s="17">
        <v>2</v>
      </c>
      <c r="B3" s="18" t="s">
        <v>135</v>
      </c>
      <c r="C3" s="23">
        <v>106.72</v>
      </c>
      <c r="D3" s="19">
        <v>6000</v>
      </c>
      <c r="E3" s="18"/>
      <c r="F3" s="20">
        <v>564000</v>
      </c>
    </row>
    <row r="4" spans="1:6" ht="12.75">
      <c r="A4" s="17">
        <v>3</v>
      </c>
      <c r="B4" s="18" t="s">
        <v>136</v>
      </c>
      <c r="C4" s="23">
        <v>99.36</v>
      </c>
      <c r="D4" s="19">
        <v>6330</v>
      </c>
      <c r="E4" s="18"/>
      <c r="F4" s="20">
        <v>583900</v>
      </c>
    </row>
    <row r="5" spans="1:6" ht="12.75">
      <c r="A5" s="17">
        <v>4</v>
      </c>
      <c r="B5" s="18" t="s">
        <v>137</v>
      </c>
      <c r="C5" s="23">
        <v>99.36</v>
      </c>
      <c r="D5" s="19">
        <v>6550</v>
      </c>
      <c r="E5" s="18" t="s">
        <v>138</v>
      </c>
      <c r="F5" s="20">
        <v>565900</v>
      </c>
    </row>
    <row r="6" spans="1:6" ht="12.75">
      <c r="A6" s="17">
        <v>5</v>
      </c>
      <c r="B6" s="18" t="s">
        <v>139</v>
      </c>
      <c r="C6" s="23">
        <v>99.36</v>
      </c>
      <c r="D6" s="19">
        <v>6389</v>
      </c>
      <c r="E6" s="18"/>
      <c r="F6" s="20">
        <v>926000</v>
      </c>
    </row>
    <row r="7" spans="1:6" ht="12.75">
      <c r="A7" s="17">
        <v>6</v>
      </c>
      <c r="B7" s="18" t="s">
        <v>140</v>
      </c>
      <c r="C7" s="23">
        <v>132.48</v>
      </c>
      <c r="D7" s="19">
        <v>8750</v>
      </c>
      <c r="E7" s="18"/>
      <c r="F7" s="20">
        <v>1100000</v>
      </c>
    </row>
    <row r="8" spans="1:6" ht="12.75">
      <c r="A8" s="17">
        <v>7</v>
      </c>
      <c r="B8" s="18" t="s">
        <v>141</v>
      </c>
      <c r="C8" s="23">
        <v>139.84</v>
      </c>
      <c r="D8" s="19">
        <v>9430</v>
      </c>
      <c r="E8" s="18"/>
      <c r="F8" s="20">
        <v>800000</v>
      </c>
    </row>
    <row r="9" spans="1:6" ht="12.75">
      <c r="A9" s="17">
        <v>8</v>
      </c>
      <c r="B9" s="18" t="s">
        <v>142</v>
      </c>
      <c r="C9" s="23">
        <v>142.784</v>
      </c>
      <c r="D9" s="19">
        <v>6600</v>
      </c>
      <c r="E9" s="18"/>
      <c r="F9" s="21">
        <v>764400</v>
      </c>
    </row>
    <row r="10" spans="1:6" ht="12.75">
      <c r="A10" s="17">
        <v>9</v>
      </c>
      <c r="B10" s="18" t="s">
        <v>143</v>
      </c>
      <c r="C10" s="23">
        <v>135.424</v>
      </c>
      <c r="D10" s="19">
        <v>6620</v>
      </c>
      <c r="E10" s="18"/>
      <c r="F10" s="20">
        <v>700000</v>
      </c>
    </row>
    <row r="11" spans="1:6" ht="12.75">
      <c r="A11" s="17">
        <v>10</v>
      </c>
      <c r="B11" s="18" t="s">
        <v>144</v>
      </c>
      <c r="C11" s="23">
        <v>147.2</v>
      </c>
      <c r="D11" s="19">
        <v>6900</v>
      </c>
      <c r="E11" s="18"/>
      <c r="F11" s="20">
        <v>790000</v>
      </c>
    </row>
    <row r="12" spans="1:6" ht="12.75">
      <c r="A12" s="17">
        <v>11</v>
      </c>
      <c r="B12" s="18" t="s">
        <v>145</v>
      </c>
      <c r="C12" s="23">
        <v>198.72</v>
      </c>
      <c r="D12" s="19">
        <v>8800</v>
      </c>
      <c r="E12" s="18"/>
      <c r="F12" s="20">
        <v>1257000</v>
      </c>
    </row>
    <row r="13" spans="1:6" ht="12.75">
      <c r="A13" s="17">
        <v>12</v>
      </c>
      <c r="B13" s="18" t="s">
        <v>146</v>
      </c>
      <c r="C13" s="23">
        <v>184</v>
      </c>
      <c r="D13" s="19">
        <v>9548</v>
      </c>
      <c r="E13" s="18"/>
      <c r="F13" s="20">
        <v>964900</v>
      </c>
    </row>
    <row r="14" spans="1:6" ht="12.75">
      <c r="A14" s="17">
        <v>13</v>
      </c>
      <c r="B14" s="18" t="s">
        <v>147</v>
      </c>
      <c r="C14" s="23">
        <v>225.216</v>
      </c>
      <c r="D14" s="19">
        <v>9200</v>
      </c>
      <c r="E14" s="18"/>
      <c r="F14" s="20">
        <v>1067000</v>
      </c>
    </row>
    <row r="15" spans="1:6" ht="12.75">
      <c r="A15" s="17">
        <v>14</v>
      </c>
      <c r="B15" s="18" t="s">
        <v>148</v>
      </c>
      <c r="C15" s="23">
        <v>192.096</v>
      </c>
      <c r="D15" s="19">
        <v>9250</v>
      </c>
      <c r="E15" s="18"/>
      <c r="F15" s="20">
        <v>940900</v>
      </c>
    </row>
    <row r="16" spans="1:6" ht="12.75">
      <c r="A16" s="17">
        <v>15</v>
      </c>
      <c r="B16" s="18" t="s">
        <v>85</v>
      </c>
      <c r="C16" s="19"/>
      <c r="D16" s="19"/>
      <c r="E16" s="18"/>
      <c r="F16" s="20"/>
    </row>
    <row r="17" spans="1:6" ht="12.75">
      <c r="A17" s="17">
        <v>16</v>
      </c>
      <c r="B17" s="18" t="s">
        <v>85</v>
      </c>
      <c r="C17" s="19"/>
      <c r="D17" s="19"/>
      <c r="E17" s="18"/>
      <c r="F17" s="20"/>
    </row>
    <row r="18" spans="1:6" ht="12.75">
      <c r="A18" s="17">
        <v>17</v>
      </c>
      <c r="B18" s="18" t="s">
        <v>85</v>
      </c>
      <c r="C18" s="19"/>
      <c r="D18" s="19"/>
      <c r="E18" s="18"/>
      <c r="F18" s="20"/>
    </row>
    <row r="19" spans="1:6" ht="12.75">
      <c r="A19" s="17">
        <v>18</v>
      </c>
      <c r="B19" s="18" t="s">
        <v>85</v>
      </c>
      <c r="C19" s="19"/>
      <c r="D19" s="19"/>
      <c r="E19" s="18"/>
      <c r="F19" s="20"/>
    </row>
    <row r="20" spans="1:6" ht="12.75">
      <c r="A20" s="17">
        <v>19</v>
      </c>
      <c r="B20" s="18" t="s">
        <v>85</v>
      </c>
      <c r="C20" s="19"/>
      <c r="D20" s="19"/>
      <c r="E20" s="18"/>
      <c r="F20" s="20"/>
    </row>
    <row r="21" spans="1:6" ht="12.75">
      <c r="A21" s="17">
        <v>20</v>
      </c>
      <c r="B21" s="18" t="s">
        <v>85</v>
      </c>
      <c r="C21" s="19"/>
      <c r="D21" s="19"/>
      <c r="E21" s="18"/>
      <c r="F21" s="20"/>
    </row>
  </sheetData>
  <sheetProtection/>
  <printOptions/>
  <pageMargins left="0.75" right="0.75" top="1" bottom="1" header="0.5" footer="0.5"/>
  <pageSetup orientation="portrait" paperSize="3"/>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JB /SLU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Joharv</dc:creator>
  <cp:keywords/>
  <dc:description/>
  <cp:lastModifiedBy>Microsoft Office User</cp:lastModifiedBy>
  <cp:lastPrinted>2005-11-07T09:14:15Z</cp:lastPrinted>
  <dcterms:created xsi:type="dcterms:W3CDTF">2004-10-11T08:32:36Z</dcterms:created>
  <dcterms:modified xsi:type="dcterms:W3CDTF">2016-06-28T06:44:57Z</dcterms:modified>
  <cp:category/>
  <cp:version/>
  <cp:contentType/>
  <cp:contentStatus/>
</cp:coreProperties>
</file>