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80" windowWidth="10000" windowHeight="5060" activeTab="0"/>
  </bookViews>
  <sheets>
    <sheet name="Info" sheetId="1" r:id="rId1"/>
    <sheet name="TONKM" sheetId="2" r:id="rId2"/>
  </sheets>
  <definedNames>
    <definedName name="OLE_LINK1" localSheetId="0">'Info'!$A$5</definedName>
  </definedNames>
  <calcPr fullCalcOnLoad="1"/>
</workbook>
</file>

<file path=xl/sharedStrings.xml><?xml version="1.0" encoding="utf-8"?>
<sst xmlns="http://schemas.openxmlformats.org/spreadsheetml/2006/main" count="68" uniqueCount="51">
  <si>
    <t>Växtföljd</t>
  </si>
  <si>
    <t>Utan vall</t>
  </si>
  <si>
    <t>Skörd, kr/ha:</t>
  </si>
  <si>
    <t>Antal ha:</t>
  </si>
  <si>
    <t>Gröda</t>
  </si>
  <si>
    <t>Vårrybs</t>
  </si>
  <si>
    <t>Stubbearb.</t>
  </si>
  <si>
    <t>Plöjning</t>
  </si>
  <si>
    <t>Harvning</t>
  </si>
  <si>
    <t>Sådd</t>
  </si>
  <si>
    <t>H-gödsel</t>
  </si>
  <si>
    <t>Vältning</t>
  </si>
  <si>
    <t>Sprutning</t>
  </si>
  <si>
    <t>Skörd</t>
  </si>
  <si>
    <t>Rötr. flyt</t>
  </si>
  <si>
    <t>Rötr. fast</t>
  </si>
  <si>
    <t>Övrigt</t>
  </si>
  <si>
    <t>Summa</t>
  </si>
  <si>
    <t>Antal körningar</t>
  </si>
  <si>
    <t>Arbetsbredd</t>
  </si>
  <si>
    <t>Körsträckefaktor</t>
  </si>
  <si>
    <t>Lerhalt</t>
  </si>
  <si>
    <t>Vattenhalt matjord</t>
  </si>
  <si>
    <t>Vattenhalt alv</t>
  </si>
  <si>
    <t>Vikt traktor fram</t>
  </si>
  <si>
    <t>Vikt traktor bak</t>
  </si>
  <si>
    <t>Ringtryck fram</t>
  </si>
  <si>
    <t>Ringtryck bak</t>
  </si>
  <si>
    <t>Däcksbredd fram, cm</t>
  </si>
  <si>
    <t>Däcksbredd bak</t>
  </si>
  <si>
    <t>Vikt full vagn</t>
  </si>
  <si>
    <t>Vikt tom vagn</t>
  </si>
  <si>
    <t xml:space="preserve">Ringtryck </t>
  </si>
  <si>
    <t>Antal axlar</t>
  </si>
  <si>
    <t>Viktöverf. till traktor</t>
  </si>
  <si>
    <t>Matjord</t>
  </si>
  <si>
    <t>Framhjul, Mgkm</t>
  </si>
  <si>
    <t>Bakhjul, Mgkm</t>
  </si>
  <si>
    <t>Vagn, Mgkm</t>
  </si>
  <si>
    <t>Totalt, Mgkm</t>
  </si>
  <si>
    <t>Förlust, %</t>
  </si>
  <si>
    <t>Förlust, kr</t>
  </si>
  <si>
    <t>25-40 cm</t>
  </si>
  <si>
    <t>&gt;40 cm</t>
  </si>
  <si>
    <t>Förlust, promille/år</t>
  </si>
  <si>
    <t>Förlust, kr/50 år</t>
  </si>
  <si>
    <t xml:space="preserve">log ringtryck </t>
  </si>
  <si>
    <t>omr 25-40</t>
  </si>
  <si>
    <t>villkor&gt;0</t>
  </si>
  <si>
    <t>omr &gt;40 framhjul</t>
  </si>
  <si>
    <t>Tonkm- ett program för att räkna ut körintensitet och skördeförluster av jordpackning i ettåriga grödor</t>
  </si>
</sst>
</file>

<file path=xl/styles.xml><?xml version="1.0" encoding="utf-8"?>
<styleSheet xmlns="http://schemas.openxmlformats.org/spreadsheetml/2006/main">
  <numFmts count="40">
    <numFmt numFmtId="5" formatCode="#,##0\ &quot;SEK&quot;;\-#,##0\ &quot;SEK&quot;"/>
    <numFmt numFmtId="6" formatCode="#,##0\ &quot;SEK&quot;;[Red]\-#,##0\ &quot;SEK&quot;"/>
    <numFmt numFmtId="7" formatCode="#,##0.00\ &quot;SEK&quot;;\-#,##0.00\ &quot;SEK&quot;"/>
    <numFmt numFmtId="8" formatCode="#,##0.00\ &quot;SEK&quot;;[Red]\-#,##0.00\ &quot;SEK&quot;"/>
    <numFmt numFmtId="42" formatCode="_-* #,##0\ &quot;SEK&quot;_-;\-* #,##0\ &quot;SEK&quot;_-;_-* &quot;-&quot;\ &quot;SEK&quot;_-;_-@_-"/>
    <numFmt numFmtId="41" formatCode="_-* #,##0\ _S_E_K_-;\-* #,##0\ _S_E_K_-;_-* &quot;-&quot;\ _S_E_K_-;_-@_-"/>
    <numFmt numFmtId="44" formatCode="_-* #,##0.00\ &quot;SEK&quot;_-;\-* #,##0.00\ &quot;SEK&quot;_-;_-* &quot;-&quot;??\ &quot;SEK&quot;_-;_-@_-"/>
    <numFmt numFmtId="43" formatCode="_-* #,##0.00\ _S_E_K_-;\-* #,##0.00\ _S_E_K_-;_-* &quot;-&quot;??\ _S_E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\$#,##0\ ;\(\$#,##0\)"/>
    <numFmt numFmtId="181" formatCode="\$#,##0\ ;[Red]\(\$#,##0\)"/>
    <numFmt numFmtId="182" formatCode="\$#,##0.00\ ;\(\$#,##0.00\)"/>
    <numFmt numFmtId="183" formatCode="\$#,##0.00\ ;[Red]\(\$#,##0.00\)"/>
    <numFmt numFmtId="184" formatCode="m/d/yy"/>
    <numFmt numFmtId="185" formatCode="d\-mmm\-yy"/>
    <numFmt numFmtId="186" formatCode="d\-mmm"/>
    <numFmt numFmtId="187" formatCode="h:mm"/>
    <numFmt numFmtId="188" formatCode="h:mm:ss"/>
    <numFmt numFmtId="189" formatCode="m/d/yy\ h:mm"/>
    <numFmt numFmtId="190" formatCode="m/d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10">
    <xf numFmtId="191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8" xfId="0" applyNumberFormat="1" applyBorder="1" applyAlignment="1">
      <alignment horizontal="right"/>
    </xf>
    <xf numFmtId="191" fontId="0" fillId="0" borderId="8" xfId="0" applyNumberFormat="1" applyBorder="1" applyAlignment="1">
      <alignment/>
    </xf>
    <xf numFmtId="191" fontId="0" fillId="0" borderId="8" xfId="0" applyNumberFormat="1" applyBorder="1" applyAlignment="1">
      <alignment horizontal="right"/>
    </xf>
    <xf numFmtId="191" fontId="0" fillId="0" borderId="8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Alignment="1">
      <alignment horizontal="left"/>
    </xf>
    <xf numFmtId="191" fontId="0" fillId="0" borderId="0" xfId="0" applyNumberFormat="1" applyAlignment="1">
      <alignment wrapText="1"/>
    </xf>
    <xf numFmtId="191" fontId="5" fillId="33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36">
      <selection activeCell="A68" sqref="A68"/>
    </sheetView>
  </sheetViews>
  <sheetFormatPr defaultColWidth="8.8515625" defaultRowHeight="12.75"/>
  <cols>
    <col min="1" max="1" width="122.28125" style="0" customWidth="1"/>
  </cols>
  <sheetData>
    <row r="1" ht="18">
      <c r="A1" s="9" t="s">
        <v>50</v>
      </c>
    </row>
    <row r="5" ht="12.75">
      <c r="A5" s="8"/>
    </row>
  </sheetData>
  <sheetProtection/>
  <printOptions/>
  <pageMargins left="0.75" right="0.75" top="1" bottom="1" header="0.5" footer="0.5"/>
  <pageSetup orientation="portrait" paperSize="3"/>
  <legacyDrawing r:id="rId2"/>
  <oleObjects>
    <oleObject progId="Word.Document.8" shapeId="7395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B21" sqref="B21"/>
    </sheetView>
  </sheetViews>
  <sheetFormatPr defaultColWidth="13.7109375" defaultRowHeight="12.75"/>
  <cols>
    <col min="1" max="1" width="22.421875" style="0" customWidth="1"/>
    <col min="2" max="5" width="13.7109375" style="0" customWidth="1"/>
    <col min="6" max="6" width="12.7109375" style="0" customWidth="1"/>
    <col min="7" max="9" width="13.7109375" style="0" customWidth="1"/>
    <col min="10" max="10" width="12.7109375" style="1" customWidth="1"/>
  </cols>
  <sheetData>
    <row r="1" spans="1:7" ht="12.75">
      <c r="A1" t="s">
        <v>0</v>
      </c>
      <c r="B1" t="s">
        <v>1</v>
      </c>
      <c r="D1" t="s">
        <v>2</v>
      </c>
      <c r="E1">
        <v>6000</v>
      </c>
      <c r="F1" s="6" t="s">
        <v>3</v>
      </c>
      <c r="G1" s="7">
        <v>1</v>
      </c>
    </row>
    <row r="2" spans="1:13" ht="12.75">
      <c r="A2" s="3" t="s">
        <v>4</v>
      </c>
      <c r="B2" s="3" t="s">
        <v>5</v>
      </c>
      <c r="C2" s="3"/>
      <c r="D2" s="3"/>
      <c r="E2" s="3"/>
      <c r="F2" s="3"/>
      <c r="G2" s="3"/>
      <c r="H2" s="3"/>
      <c r="I2" s="3"/>
      <c r="J2" s="5"/>
      <c r="K2" s="3"/>
      <c r="L2" s="3"/>
      <c r="M2" s="3"/>
    </row>
    <row r="3" spans="1:13" ht="12.75">
      <c r="A3" s="3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4" t="s">
        <v>14</v>
      </c>
      <c r="K3" s="2" t="s">
        <v>15</v>
      </c>
      <c r="L3" s="2" t="s">
        <v>16</v>
      </c>
      <c r="M3" s="2" t="s">
        <v>17</v>
      </c>
    </row>
    <row r="4" spans="1:13" ht="12.75">
      <c r="A4" s="1" t="s">
        <v>18</v>
      </c>
      <c r="B4" s="1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/>
    </row>
    <row r="5" spans="1:12" ht="12.75">
      <c r="A5" t="s">
        <v>19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</row>
    <row r="6" spans="1:12" ht="12.75">
      <c r="A6" t="s">
        <v>20</v>
      </c>
      <c r="B6">
        <v>1.3</v>
      </c>
      <c r="C6">
        <v>1.3</v>
      </c>
      <c r="D6">
        <v>1.3</v>
      </c>
      <c r="E6">
        <v>1.3</v>
      </c>
      <c r="F6">
        <v>1.3</v>
      </c>
      <c r="G6">
        <v>1.3</v>
      </c>
      <c r="H6">
        <v>1.3</v>
      </c>
      <c r="I6">
        <v>1.3</v>
      </c>
      <c r="J6">
        <v>2.5</v>
      </c>
      <c r="K6">
        <v>2.5</v>
      </c>
      <c r="L6">
        <v>1.3</v>
      </c>
    </row>
    <row r="7" spans="1:12" ht="12.75">
      <c r="A7" t="s">
        <v>21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L7">
        <v>20</v>
      </c>
    </row>
    <row r="8" spans="1:12" ht="12.75">
      <c r="A8" t="s">
        <v>22</v>
      </c>
      <c r="B8">
        <v>3.3</v>
      </c>
      <c r="C8">
        <v>3.6</v>
      </c>
      <c r="D8">
        <v>3.6</v>
      </c>
      <c r="E8">
        <v>3.5</v>
      </c>
      <c r="F8">
        <v>3.5</v>
      </c>
      <c r="G8">
        <v>3.4</v>
      </c>
      <c r="H8">
        <v>3</v>
      </c>
      <c r="I8">
        <v>3</v>
      </c>
      <c r="J8">
        <v>3.5</v>
      </c>
      <c r="K8">
        <v>3.5</v>
      </c>
      <c r="L8">
        <v>3</v>
      </c>
    </row>
    <row r="9" spans="1:12" ht="12.75">
      <c r="A9" t="s">
        <v>23</v>
      </c>
      <c r="B9">
        <v>3</v>
      </c>
      <c r="C9">
        <v>3</v>
      </c>
      <c r="D9">
        <v>4</v>
      </c>
      <c r="E9">
        <v>4</v>
      </c>
      <c r="F9">
        <v>4</v>
      </c>
      <c r="G9">
        <v>4</v>
      </c>
      <c r="H9">
        <v>3</v>
      </c>
      <c r="I9">
        <v>3</v>
      </c>
      <c r="J9">
        <v>3.5</v>
      </c>
      <c r="K9">
        <v>3.5</v>
      </c>
      <c r="L9">
        <v>3</v>
      </c>
    </row>
    <row r="10" spans="1:12" ht="12.75">
      <c r="A10" t="s">
        <v>24</v>
      </c>
      <c r="B10">
        <v>2000</v>
      </c>
      <c r="C10">
        <v>2000</v>
      </c>
      <c r="D10">
        <v>2000</v>
      </c>
      <c r="E10">
        <v>1800</v>
      </c>
      <c r="F10">
        <v>1800</v>
      </c>
      <c r="G10">
        <v>1800</v>
      </c>
      <c r="H10">
        <v>1000</v>
      </c>
      <c r="I10">
        <v>6300</v>
      </c>
      <c r="J10">
        <v>2000</v>
      </c>
      <c r="K10">
        <v>2000</v>
      </c>
      <c r="L10">
        <v>0</v>
      </c>
    </row>
    <row r="11" spans="1:12" ht="12.75">
      <c r="A11" t="s">
        <v>25</v>
      </c>
      <c r="B11">
        <v>3200</v>
      </c>
      <c r="C11">
        <v>3200</v>
      </c>
      <c r="D11">
        <v>3200</v>
      </c>
      <c r="E11">
        <v>2200</v>
      </c>
      <c r="F11">
        <v>2200</v>
      </c>
      <c r="G11">
        <v>2200</v>
      </c>
      <c r="H11">
        <v>1820</v>
      </c>
      <c r="I11">
        <v>1800</v>
      </c>
      <c r="J11">
        <v>3200</v>
      </c>
      <c r="K11">
        <v>3200</v>
      </c>
      <c r="L11">
        <v>0</v>
      </c>
    </row>
    <row r="12" spans="1:12" ht="12.75">
      <c r="A12" t="s">
        <v>26</v>
      </c>
      <c r="B12">
        <v>80</v>
      </c>
      <c r="C12">
        <v>80</v>
      </c>
      <c r="D12">
        <v>80</v>
      </c>
      <c r="E12">
        <v>60</v>
      </c>
      <c r="F12">
        <v>60</v>
      </c>
      <c r="G12">
        <v>60</v>
      </c>
      <c r="H12">
        <v>60</v>
      </c>
      <c r="I12">
        <v>160</v>
      </c>
      <c r="J12">
        <v>80</v>
      </c>
      <c r="K12">
        <v>80</v>
      </c>
      <c r="L12">
        <v>150</v>
      </c>
    </row>
    <row r="13" spans="1:12" ht="12.75">
      <c r="A13" t="s">
        <v>27</v>
      </c>
      <c r="B13">
        <v>80</v>
      </c>
      <c r="C13">
        <v>80</v>
      </c>
      <c r="D13">
        <v>80</v>
      </c>
      <c r="E13">
        <v>60</v>
      </c>
      <c r="F13">
        <v>60</v>
      </c>
      <c r="G13">
        <v>60</v>
      </c>
      <c r="H13">
        <v>80</v>
      </c>
      <c r="I13">
        <v>160</v>
      </c>
      <c r="J13">
        <v>80</v>
      </c>
      <c r="K13">
        <v>80</v>
      </c>
      <c r="L13">
        <v>200</v>
      </c>
    </row>
    <row r="14" spans="1:12" ht="12.75">
      <c r="A14" t="s">
        <v>28</v>
      </c>
      <c r="B14">
        <v>43</v>
      </c>
      <c r="C14">
        <v>43</v>
      </c>
      <c r="D14">
        <v>43</v>
      </c>
      <c r="E14">
        <v>35</v>
      </c>
      <c r="F14">
        <v>35</v>
      </c>
      <c r="G14">
        <v>35</v>
      </c>
      <c r="H14">
        <v>25</v>
      </c>
      <c r="I14">
        <v>47</v>
      </c>
      <c r="J14">
        <v>43</v>
      </c>
      <c r="K14">
        <v>43</v>
      </c>
      <c r="L14">
        <v>35</v>
      </c>
    </row>
    <row r="15" spans="1:12" ht="12.75">
      <c r="A15" t="s">
        <v>29</v>
      </c>
      <c r="B15">
        <v>53</v>
      </c>
      <c r="C15">
        <v>53</v>
      </c>
      <c r="D15">
        <v>53</v>
      </c>
      <c r="E15">
        <v>45</v>
      </c>
      <c r="F15">
        <v>45</v>
      </c>
      <c r="G15">
        <v>45</v>
      </c>
      <c r="H15">
        <v>43</v>
      </c>
      <c r="I15">
        <v>32</v>
      </c>
      <c r="J15">
        <v>53</v>
      </c>
      <c r="K15">
        <v>53</v>
      </c>
      <c r="L15">
        <v>45</v>
      </c>
    </row>
    <row r="16" spans="1:12" ht="12.75">
      <c r="A16" t="s">
        <v>30</v>
      </c>
      <c r="B16">
        <v>0</v>
      </c>
      <c r="C16">
        <v>0</v>
      </c>
      <c r="D16">
        <v>0</v>
      </c>
      <c r="E16">
        <v>1500</v>
      </c>
      <c r="F16">
        <v>2500</v>
      </c>
      <c r="G16">
        <v>0</v>
      </c>
      <c r="H16">
        <v>2000</v>
      </c>
      <c r="I16">
        <v>0</v>
      </c>
      <c r="J16">
        <v>3800</v>
      </c>
      <c r="K16">
        <v>15200</v>
      </c>
      <c r="L16">
        <v>0</v>
      </c>
    </row>
    <row r="17" spans="1:12" ht="12.75">
      <c r="A17" t="s">
        <v>31</v>
      </c>
      <c r="B17">
        <v>0</v>
      </c>
      <c r="C17">
        <v>0</v>
      </c>
      <c r="D17">
        <v>0</v>
      </c>
      <c r="E17">
        <v>3500</v>
      </c>
      <c r="F17">
        <v>1500</v>
      </c>
      <c r="G17">
        <v>0</v>
      </c>
      <c r="H17">
        <v>1000</v>
      </c>
      <c r="I17">
        <v>0</v>
      </c>
      <c r="J17">
        <v>13800</v>
      </c>
      <c r="K17">
        <v>3200</v>
      </c>
      <c r="L17">
        <v>0</v>
      </c>
    </row>
    <row r="18" spans="1:12" ht="12.75">
      <c r="A18" t="s">
        <v>32</v>
      </c>
      <c r="B18">
        <v>200</v>
      </c>
      <c r="C18">
        <v>200</v>
      </c>
      <c r="D18">
        <v>200</v>
      </c>
      <c r="E18">
        <v>100</v>
      </c>
      <c r="F18">
        <v>100</v>
      </c>
      <c r="G18">
        <v>200</v>
      </c>
      <c r="H18">
        <v>100</v>
      </c>
      <c r="I18">
        <v>200</v>
      </c>
      <c r="J18">
        <v>80</v>
      </c>
      <c r="K18">
        <v>120</v>
      </c>
      <c r="L18">
        <v>200</v>
      </c>
    </row>
    <row r="19" spans="1:12" ht="12.75">
      <c r="A19" t="s">
        <v>33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2</v>
      </c>
      <c r="K19">
        <v>2</v>
      </c>
      <c r="L19">
        <v>1</v>
      </c>
    </row>
    <row r="20" spans="1:13" ht="12.75">
      <c r="A20" s="3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1000</v>
      </c>
      <c r="K20" s="3">
        <v>1000</v>
      </c>
      <c r="L20" s="3">
        <v>0</v>
      </c>
      <c r="M20" s="3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ht="12.75">
      <c r="A22" s="3" t="s">
        <v>35</v>
      </c>
    </row>
    <row r="23" spans="1:13" ht="12.75">
      <c r="A23" t="s">
        <v>36</v>
      </c>
      <c r="B23">
        <f>(B$10/1000*10*B$6/B$5*(B$50-1.2)*(B$8*0.2625-0.056)*B$4)</f>
        <v>14.811645210965779</v>
      </c>
      <c r="C23">
        <f>(C$10/1000*10*(C$6-0.5)/C$5*(C$50-1.2)*(C$8*0.2625-0.056)*C$4)</f>
        <v>0</v>
      </c>
      <c r="D23">
        <f aca="true" t="shared" si="0" ref="D23:L23">(D$10/1000*10*D$6/D$5*(D$50-1.2)*(D$8*0.2625-0.056)*D$4)</f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0"/>
        <v>0</v>
      </c>
      <c r="M23">
        <f>SUM(B23:L23)</f>
        <v>14.811645210965779</v>
      </c>
    </row>
    <row r="24" spans="1:13" ht="12.75">
      <c r="A24" t="s">
        <v>37</v>
      </c>
      <c r="B24">
        <f>((B11+B20)/1000*10*B$6/B$5*(B51-1.2)*(B$8*0.2625-0.056)*B$4)</f>
        <v>23.698632337545245</v>
      </c>
      <c r="C24">
        <f>((C11+C20)/1000*10*(C$6-0.5)/C$5*(C51-1.2)*(C$8*0.2625-0.056)*C$4)</f>
        <v>0</v>
      </c>
      <c r="D24">
        <f aca="true" t="shared" si="1" ref="D24:L24">((D11+D20)/1000*10*D$6/D$5*(D51-1.2)*(D$8*0.2625-0.056)*D$4)</f>
        <v>0</v>
      </c>
      <c r="E24">
        <f t="shared" si="1"/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>SUM(B24:L24)</f>
        <v>23.698632337545245</v>
      </c>
    </row>
    <row r="25" spans="1:13" ht="12.75">
      <c r="A25" t="s">
        <v>38</v>
      </c>
      <c r="B25">
        <f>((B16+B17-2*B20)/2000*10*B$6/B$5*(B52-1.2)*(B$8*0.2625-0.056)*B$4)</f>
        <v>0</v>
      </c>
      <c r="C25">
        <v>0</v>
      </c>
      <c r="D25">
        <f aca="true" t="shared" si="2" ref="D25:L25">((D16+D17-2*D20)/2000*10*D$6/D$5*(D52-1.2)*(D$8*0.2625-0.056)*D$4)</f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>SUM(B25:L25)</f>
        <v>0</v>
      </c>
    </row>
    <row r="26" spans="1:13" ht="12.75">
      <c r="A26" t="s">
        <v>39</v>
      </c>
      <c r="B26">
        <f aca="true" t="shared" si="3" ref="B26:L26">B23+B24+B25</f>
        <v>38.51027754851103</v>
      </c>
      <c r="C26">
        <f t="shared" si="3"/>
        <v>0</v>
      </c>
      <c r="D26">
        <f t="shared" si="3"/>
        <v>0</v>
      </c>
      <c r="E26">
        <f t="shared" si="3"/>
        <v>0</v>
      </c>
      <c r="F26">
        <f t="shared" si="3"/>
        <v>0</v>
      </c>
      <c r="G26">
        <f t="shared" si="3"/>
        <v>0</v>
      </c>
      <c r="H26">
        <f t="shared" si="3"/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>SUM(B26:L26)</f>
        <v>38.51027754851103</v>
      </c>
    </row>
    <row r="27" spans="1:13" ht="12.75">
      <c r="A27" t="s">
        <v>40</v>
      </c>
      <c r="B27">
        <f aca="true" t="shared" si="4" ref="B27:L27">B26*B$7*0.00154</f>
        <v>1.1861165484941396</v>
      </c>
      <c r="C27">
        <f t="shared" si="4"/>
        <v>0</v>
      </c>
      <c r="D27">
        <f t="shared" si="4"/>
        <v>0</v>
      </c>
      <c r="E27">
        <f t="shared" si="4"/>
        <v>0</v>
      </c>
      <c r="F27">
        <f t="shared" si="4"/>
        <v>0</v>
      </c>
      <c r="G27">
        <f t="shared" si="4"/>
        <v>0</v>
      </c>
      <c r="H27">
        <f t="shared" si="4"/>
        <v>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>SUM(B27:L27)</f>
        <v>1.1861165484941396</v>
      </c>
    </row>
    <row r="28" spans="1:13" ht="12.75">
      <c r="A28" s="3" t="s">
        <v>41</v>
      </c>
      <c r="B28" s="3">
        <f aca="true" t="shared" si="5" ref="B28:M28">$E$1*$G$1*B27/100</f>
        <v>71.16699290964839</v>
      </c>
      <c r="C28" s="3">
        <f t="shared" si="5"/>
        <v>0</v>
      </c>
      <c r="D28" s="3">
        <f t="shared" si="5"/>
        <v>0</v>
      </c>
      <c r="E28" s="3">
        <f t="shared" si="5"/>
        <v>0</v>
      </c>
      <c r="F28" s="3">
        <f t="shared" si="5"/>
        <v>0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3">
        <f t="shared" si="5"/>
        <v>0</v>
      </c>
      <c r="K28" s="3">
        <f t="shared" si="5"/>
        <v>0</v>
      </c>
      <c r="L28" s="3">
        <f t="shared" si="5"/>
        <v>0</v>
      </c>
      <c r="M28" s="3">
        <f t="shared" si="5"/>
        <v>71.16699290964839</v>
      </c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ht="12.75">
      <c r="A30" s="3" t="s">
        <v>42</v>
      </c>
    </row>
    <row r="31" spans="1:13" ht="12.75">
      <c r="A31" t="s">
        <v>36</v>
      </c>
      <c r="B31">
        <f>B54*B58*10*B$4*B$6/B$5</f>
        <v>0</v>
      </c>
      <c r="C31">
        <f>C54*C58*10*C$4*C$6/C$5+(0.5*C$4*(C10)/1000*(C50-0.53)*(C$9-2)*0.326*10/C$5)</f>
        <v>0</v>
      </c>
      <c r="D31">
        <f aca="true" t="shared" si="6" ref="D31:L31">D54*D58*10*D$4*D$6/D$5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>SUM(B31:L31)</f>
        <v>0</v>
      </c>
    </row>
    <row r="32" spans="1:13" ht="12.75">
      <c r="A32" t="s">
        <v>37</v>
      </c>
      <c r="B32">
        <f>B55*B59*10*B$4*B$6/B$5</f>
        <v>0</v>
      </c>
      <c r="C32">
        <f>C55*C59*10*C$4*C$6/C$5+(0.5*C$4*(C11)/1000*(C51-0.53)*(C$9-2)*0.326)*10/C$5</f>
        <v>0</v>
      </c>
      <c r="D32">
        <f aca="true" t="shared" si="7" ref="D32:L32">D55*D59*10*D$4*D$6/D$5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>SUM(B32:L32)</f>
        <v>0</v>
      </c>
    </row>
    <row r="33" spans="1:13" ht="12.75">
      <c r="A33" t="s">
        <v>38</v>
      </c>
      <c r="B33">
        <f>0.5*B56*B60*10*B$4*B$6/B$5+0.5*B57*B61*10*B$4*B$6/B$5</f>
        <v>0</v>
      </c>
      <c r="C33">
        <f>C56*C60*10*C$4*C$6/C$5</f>
        <v>0</v>
      </c>
      <c r="D33">
        <f aca="true" t="shared" si="8" ref="D33:L33">0.5*D56*D60*10*D$4*D$6/D$5+0.5*D57*D61*10*D$4*D$6/D$5</f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>SUM(B33:L33)</f>
        <v>0</v>
      </c>
    </row>
    <row r="34" spans="1:13" ht="12.75">
      <c r="A34" t="s">
        <v>39</v>
      </c>
      <c r="B34">
        <f aca="true" t="shared" si="9" ref="B34:L34">B31+B32+B33</f>
        <v>0</v>
      </c>
      <c r="C34">
        <f t="shared" si="9"/>
        <v>0</v>
      </c>
      <c r="D34">
        <f t="shared" si="9"/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>SUM(B34:L34)</f>
        <v>0</v>
      </c>
    </row>
    <row r="35" spans="1:13" ht="12.75">
      <c r="A35" t="s">
        <v>40</v>
      </c>
      <c r="B35">
        <f aca="true" t="shared" si="10" ref="B35:M35">B34/40</f>
        <v>0</v>
      </c>
      <c r="C35">
        <f t="shared" si="10"/>
        <v>0</v>
      </c>
      <c r="D35">
        <f t="shared" si="10"/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</row>
    <row r="36" spans="1:13" ht="12.75">
      <c r="A36" s="3" t="s">
        <v>41</v>
      </c>
      <c r="B36" s="3">
        <f aca="true" t="shared" si="11" ref="B36:M36">$E$1*$G$1*B35/100</f>
        <v>0</v>
      </c>
      <c r="C36" s="3">
        <f t="shared" si="11"/>
        <v>0</v>
      </c>
      <c r="D36" s="3">
        <f t="shared" si="11"/>
        <v>0</v>
      </c>
      <c r="E36" s="3">
        <f t="shared" si="11"/>
        <v>0</v>
      </c>
      <c r="F36" s="3">
        <f t="shared" si="11"/>
        <v>0</v>
      </c>
      <c r="G36" s="3">
        <f t="shared" si="11"/>
        <v>0</v>
      </c>
      <c r="H36" s="3">
        <f t="shared" si="11"/>
        <v>0</v>
      </c>
      <c r="I36" s="3">
        <f t="shared" si="11"/>
        <v>0</v>
      </c>
      <c r="J36" s="3">
        <f t="shared" si="11"/>
        <v>0</v>
      </c>
      <c r="K36" s="3">
        <f t="shared" si="11"/>
        <v>0</v>
      </c>
      <c r="L36" s="3">
        <f t="shared" si="11"/>
        <v>0</v>
      </c>
      <c r="M36" s="3">
        <f t="shared" si="11"/>
        <v>0</v>
      </c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ht="12.75">
      <c r="A38" s="3" t="s">
        <v>43</v>
      </c>
    </row>
    <row r="39" spans="1:13" ht="12.75">
      <c r="A39" t="s">
        <v>36</v>
      </c>
      <c r="B39">
        <f>B63*B67*10*B$4*B$6/B$5</f>
        <v>0</v>
      </c>
      <c r="C39">
        <f>C63*C67*10*C$4*(C$6-0.5)/C$5+C71*C74*10*C$4*(0.5)/C$5</f>
        <v>0</v>
      </c>
      <c r="D39">
        <f aca="true" t="shared" si="12" ref="D39:L39">D63*D67*10*D$4*D$6/D$5</f>
        <v>0</v>
      </c>
      <c r="E39">
        <f t="shared" si="12"/>
        <v>0</v>
      </c>
      <c r="F39">
        <f t="shared" si="12"/>
        <v>0</v>
      </c>
      <c r="G39">
        <f t="shared" si="12"/>
        <v>0</v>
      </c>
      <c r="H39">
        <f t="shared" si="12"/>
        <v>0</v>
      </c>
      <c r="I39">
        <f t="shared" si="12"/>
        <v>0</v>
      </c>
      <c r="J39">
        <f t="shared" si="12"/>
        <v>0</v>
      </c>
      <c r="K39">
        <f t="shared" si="12"/>
        <v>0</v>
      </c>
      <c r="L39">
        <f t="shared" si="12"/>
        <v>0</v>
      </c>
      <c r="M39">
        <f>SUM(B39:L39)</f>
        <v>0</v>
      </c>
    </row>
    <row r="40" spans="1:13" ht="12.75">
      <c r="A40" t="s">
        <v>37</v>
      </c>
      <c r="B40">
        <f>B64*B68*10*B$4*B$6/B$5</f>
        <v>0</v>
      </c>
      <c r="C40">
        <f>C64*C68*10*C$4*(C$6-0.5)/C$5+C72*C75*10*C$4*(0.5)/C$5</f>
        <v>0</v>
      </c>
      <c r="D40">
        <f aca="true" t="shared" si="13" ref="D40:L40">D64*D68*10*D$4*D$6/D$5</f>
        <v>0</v>
      </c>
      <c r="E40">
        <f t="shared" si="13"/>
        <v>0</v>
      </c>
      <c r="F40">
        <f t="shared" si="13"/>
        <v>0</v>
      </c>
      <c r="G40">
        <f t="shared" si="13"/>
        <v>0</v>
      </c>
      <c r="H40">
        <f t="shared" si="13"/>
        <v>0</v>
      </c>
      <c r="I40">
        <f t="shared" si="13"/>
        <v>0</v>
      </c>
      <c r="J40">
        <f t="shared" si="13"/>
        <v>0</v>
      </c>
      <c r="K40">
        <f t="shared" si="13"/>
        <v>0</v>
      </c>
      <c r="L40">
        <f t="shared" si="13"/>
        <v>0</v>
      </c>
      <c r="M40">
        <f>SUM(B40:L40)</f>
        <v>0</v>
      </c>
    </row>
    <row r="41" spans="1:13" ht="12.75">
      <c r="A41" t="s">
        <v>38</v>
      </c>
      <c r="B41">
        <f>0.5*B65*B69*10*B$4*B$6/B$5+0.5*B65*B69*10*B$4*B$6/B$5</f>
        <v>0</v>
      </c>
      <c r="C41">
        <f>C65*C69*10*C$4*C$6/C$5</f>
        <v>0</v>
      </c>
      <c r="D41">
        <f aca="true" t="shared" si="14" ref="D41:L41">0.5*D65*D69*10*D$4*D$6/D$5+0.5*D65*D69*10*D$4*D$6/D$5</f>
        <v>0</v>
      </c>
      <c r="E41">
        <f t="shared" si="14"/>
        <v>0</v>
      </c>
      <c r="F41">
        <f t="shared" si="14"/>
        <v>0</v>
      </c>
      <c r="G41">
        <f t="shared" si="14"/>
        <v>0</v>
      </c>
      <c r="H41">
        <f t="shared" si="14"/>
        <v>0</v>
      </c>
      <c r="I41">
        <f t="shared" si="14"/>
        <v>0</v>
      </c>
      <c r="J41">
        <f t="shared" si="14"/>
        <v>0</v>
      </c>
      <c r="K41">
        <f t="shared" si="14"/>
        <v>0</v>
      </c>
      <c r="L41">
        <f t="shared" si="14"/>
        <v>0</v>
      </c>
      <c r="M41">
        <f>SUM(B41:L41)</f>
        <v>0</v>
      </c>
    </row>
    <row r="42" spans="1:13" ht="12.75">
      <c r="A42" t="s">
        <v>39</v>
      </c>
      <c r="B42">
        <f aca="true" t="shared" si="15" ref="B42:L42">B39+B40+B41</f>
        <v>0</v>
      </c>
      <c r="C42">
        <f t="shared" si="15"/>
        <v>0</v>
      </c>
      <c r="D42">
        <f t="shared" si="15"/>
        <v>0</v>
      </c>
      <c r="E42">
        <f t="shared" si="15"/>
        <v>0</v>
      </c>
      <c r="F42">
        <f t="shared" si="15"/>
        <v>0</v>
      </c>
      <c r="G42">
        <f t="shared" si="15"/>
        <v>0</v>
      </c>
      <c r="H42">
        <f t="shared" si="15"/>
        <v>0</v>
      </c>
      <c r="I42">
        <f t="shared" si="15"/>
        <v>0</v>
      </c>
      <c r="J42">
        <f t="shared" si="15"/>
        <v>0</v>
      </c>
      <c r="K42">
        <f t="shared" si="15"/>
        <v>0</v>
      </c>
      <c r="L42">
        <f t="shared" si="15"/>
        <v>0</v>
      </c>
      <c r="M42">
        <f>SUM(B42:L42)</f>
        <v>0</v>
      </c>
    </row>
    <row r="43" spans="1:13" ht="12.75">
      <c r="A43" t="s">
        <v>44</v>
      </c>
      <c r="B43">
        <f aca="true" t="shared" si="16" ref="B43:L43">B42/40</f>
        <v>0</v>
      </c>
      <c r="C43">
        <f t="shared" si="16"/>
        <v>0</v>
      </c>
      <c r="D43">
        <f t="shared" si="16"/>
        <v>0</v>
      </c>
      <c r="E43">
        <f t="shared" si="16"/>
        <v>0</v>
      </c>
      <c r="F43">
        <f t="shared" si="16"/>
        <v>0</v>
      </c>
      <c r="G43">
        <f t="shared" si="16"/>
        <v>0</v>
      </c>
      <c r="H43">
        <f t="shared" si="16"/>
        <v>0</v>
      </c>
      <c r="I43">
        <f t="shared" si="16"/>
        <v>0</v>
      </c>
      <c r="J43">
        <f t="shared" si="16"/>
        <v>0</v>
      </c>
      <c r="K43">
        <f t="shared" si="16"/>
        <v>0</v>
      </c>
      <c r="L43">
        <f t="shared" si="16"/>
        <v>0</v>
      </c>
      <c r="M43">
        <f>SUM(B43:L43)</f>
        <v>0</v>
      </c>
    </row>
    <row r="44" spans="1:13" ht="12.75">
      <c r="A44" s="3" t="s">
        <v>45</v>
      </c>
      <c r="B44" s="3">
        <f aca="true" t="shared" si="17" ref="B44:M44">$E$1*$G$1*B43*50/1000</f>
        <v>0</v>
      </c>
      <c r="C44" s="3">
        <f t="shared" si="17"/>
        <v>0</v>
      </c>
      <c r="D44" s="3">
        <f t="shared" si="17"/>
        <v>0</v>
      </c>
      <c r="E44" s="3">
        <f t="shared" si="17"/>
        <v>0</v>
      </c>
      <c r="F44" s="3">
        <f t="shared" si="17"/>
        <v>0</v>
      </c>
      <c r="G44" s="3">
        <f t="shared" si="17"/>
        <v>0</v>
      </c>
      <c r="H44" s="3">
        <f t="shared" si="17"/>
        <v>0</v>
      </c>
      <c r="I44" s="3">
        <f t="shared" si="17"/>
        <v>0</v>
      </c>
      <c r="J44" s="3">
        <f t="shared" si="17"/>
        <v>0</v>
      </c>
      <c r="K44" s="3">
        <f t="shared" si="17"/>
        <v>0</v>
      </c>
      <c r="L44" s="3">
        <f t="shared" si="17"/>
        <v>0</v>
      </c>
      <c r="M44" s="3">
        <f t="shared" si="17"/>
        <v>0</v>
      </c>
    </row>
    <row r="50" spans="1:13" ht="12.75">
      <c r="A50" t="s">
        <v>46</v>
      </c>
      <c r="B50">
        <f aca="true" t="shared" si="18" ref="B50:M50">LOG10(B12)</f>
        <v>1.9030899869919435</v>
      </c>
      <c r="C50">
        <f t="shared" si="18"/>
        <v>1.9030899869919435</v>
      </c>
      <c r="D50">
        <f t="shared" si="18"/>
        <v>1.9030899869919435</v>
      </c>
      <c r="E50">
        <f t="shared" si="18"/>
        <v>1.7781512503836436</v>
      </c>
      <c r="F50">
        <f t="shared" si="18"/>
        <v>1.7781512503836436</v>
      </c>
      <c r="G50">
        <f t="shared" si="18"/>
        <v>1.7781512503836436</v>
      </c>
      <c r="H50">
        <f t="shared" si="18"/>
        <v>1.7781512503836436</v>
      </c>
      <c r="I50">
        <f t="shared" si="18"/>
        <v>2.2041199826559246</v>
      </c>
      <c r="J50">
        <f t="shared" si="18"/>
        <v>1.9030899869919435</v>
      </c>
      <c r="K50">
        <f t="shared" si="18"/>
        <v>1.9030899869919435</v>
      </c>
      <c r="L50">
        <f t="shared" si="18"/>
        <v>2.1760912590556813</v>
      </c>
      <c r="M50" t="e">
        <f t="shared" si="18"/>
        <v>#NUM!</v>
      </c>
    </row>
    <row r="51" spans="2:13" ht="12.75">
      <c r="B51">
        <f aca="true" t="shared" si="19" ref="B51:M51">LOG10(B13)</f>
        <v>1.9030899869919435</v>
      </c>
      <c r="C51">
        <f t="shared" si="19"/>
        <v>1.9030899869919435</v>
      </c>
      <c r="D51">
        <f t="shared" si="19"/>
        <v>1.9030899869919435</v>
      </c>
      <c r="E51">
        <f t="shared" si="19"/>
        <v>1.7781512503836436</v>
      </c>
      <c r="F51">
        <f t="shared" si="19"/>
        <v>1.7781512503836436</v>
      </c>
      <c r="G51">
        <f t="shared" si="19"/>
        <v>1.7781512503836436</v>
      </c>
      <c r="H51">
        <f t="shared" si="19"/>
        <v>1.9030899869919435</v>
      </c>
      <c r="I51">
        <f t="shared" si="19"/>
        <v>2.2041199826559246</v>
      </c>
      <c r="J51">
        <f t="shared" si="19"/>
        <v>1.9030899869919435</v>
      </c>
      <c r="K51">
        <f t="shared" si="19"/>
        <v>1.9030899869919435</v>
      </c>
      <c r="L51">
        <f t="shared" si="19"/>
        <v>2.3010299956639813</v>
      </c>
      <c r="M51" t="e">
        <f t="shared" si="19"/>
        <v>#NUM!</v>
      </c>
    </row>
    <row r="52" spans="2:13" ht="12.75">
      <c r="B52">
        <f aca="true" t="shared" si="20" ref="B52:M52">LOG10(B18)</f>
        <v>2.3010299956639813</v>
      </c>
      <c r="C52">
        <f t="shared" si="20"/>
        <v>2.3010299956639813</v>
      </c>
      <c r="D52">
        <f t="shared" si="20"/>
        <v>2.3010299956639813</v>
      </c>
      <c r="E52">
        <f t="shared" si="20"/>
        <v>2</v>
      </c>
      <c r="F52">
        <f t="shared" si="20"/>
        <v>2</v>
      </c>
      <c r="G52">
        <f t="shared" si="20"/>
        <v>2.3010299956639813</v>
      </c>
      <c r="H52">
        <f t="shared" si="20"/>
        <v>2</v>
      </c>
      <c r="I52">
        <f t="shared" si="20"/>
        <v>2.3010299956639813</v>
      </c>
      <c r="J52">
        <f t="shared" si="20"/>
        <v>1.9030899869919435</v>
      </c>
      <c r="K52">
        <f t="shared" si="20"/>
        <v>2.0791812460476247</v>
      </c>
      <c r="L52">
        <f t="shared" si="20"/>
        <v>2.3010299956639813</v>
      </c>
      <c r="M52" t="e">
        <f t="shared" si="20"/>
        <v>#NUM!</v>
      </c>
    </row>
    <row r="54" spans="1:13" ht="12.75">
      <c r="A54" t="s">
        <v>47</v>
      </c>
      <c r="B54">
        <f>((B10-4000)/1000*(B50-0.53)*(B$9-2)*0.326)</f>
        <v>-0.8952546715187472</v>
      </c>
      <c r="C54">
        <f>(0.5*(C10-4000)/1000*(C50-0.53)*(C$9-2)*0.326)</f>
        <v>-0.4476273357593736</v>
      </c>
      <c r="D54">
        <f aca="true" t="shared" si="21" ref="D54:L54">((D10-4000)/1000*(D50-0.53)*(D$9-2)*0.326)</f>
        <v>-1.7905093430374943</v>
      </c>
      <c r="E54">
        <f t="shared" si="21"/>
        <v>-1.7903481535502985</v>
      </c>
      <c r="F54">
        <f t="shared" si="21"/>
        <v>-1.7903481535502985</v>
      </c>
      <c r="G54">
        <f t="shared" si="21"/>
        <v>-1.7903481535502985</v>
      </c>
      <c r="H54">
        <f t="shared" si="21"/>
        <v>-1.2206919228752036</v>
      </c>
      <c r="I54">
        <f t="shared" si="21"/>
        <v>1.2552551629954123</v>
      </c>
      <c r="J54">
        <f t="shared" si="21"/>
        <v>-1.342882007278121</v>
      </c>
      <c r="K54">
        <f t="shared" si="21"/>
        <v>-1.342882007278121</v>
      </c>
      <c r="L54">
        <f t="shared" si="21"/>
        <v>-2.1465030018086084</v>
      </c>
      <c r="M54" t="e">
        <f>((M10-4000)/1000*(M50-0.53)*(M$9-2)*0.326)</f>
        <v>#NUM!</v>
      </c>
    </row>
    <row r="55" spans="1:13" ht="12.75">
      <c r="A55" t="s">
        <v>47</v>
      </c>
      <c r="B55">
        <f>((B11-4000)/1000*(B51-0.53)*(B$9-2)*0.326)</f>
        <v>-0.3581018686074989</v>
      </c>
      <c r="C55">
        <f>(0.5*(C11-4000)/1000*(C51-0.53)*(C$9-2)*0.326)</f>
        <v>-0.17905093430374944</v>
      </c>
      <c r="D55">
        <f aca="true" t="shared" si="22" ref="D55:L55">((D11-4000)/1000*(D51-0.53)*(D$9-2)*0.326)</f>
        <v>-0.7162037372149977</v>
      </c>
      <c r="E55">
        <f t="shared" si="22"/>
        <v>-1.4648303074502445</v>
      </c>
      <c r="F55">
        <f t="shared" si="22"/>
        <v>-1.4648303074502445</v>
      </c>
      <c r="G55">
        <f t="shared" si="22"/>
        <v>-1.4648303074502445</v>
      </c>
      <c r="H55">
        <f t="shared" si="22"/>
        <v>-0.9758275919554344</v>
      </c>
      <c r="I55">
        <f t="shared" si="22"/>
        <v>-1.2006788515608293</v>
      </c>
      <c r="J55">
        <f t="shared" si="22"/>
        <v>-0.5371528029112483</v>
      </c>
      <c r="K55">
        <f t="shared" si="22"/>
        <v>-0.5371528029112483</v>
      </c>
      <c r="L55">
        <f t="shared" si="22"/>
        <v>-2.3094231143458317</v>
      </c>
      <c r="M55" t="e">
        <f>((M11-4000)/1000*(M51-0.53)*(M$9-2)*0.326)</f>
        <v>#NUM!</v>
      </c>
    </row>
    <row r="56" spans="1:13" ht="12.75">
      <c r="A56" t="s">
        <v>47</v>
      </c>
      <c r="B56">
        <f>((((B16-B20)/B19)-4000)/1000*(B52-0.53)*(B$9-2)*0.326*B19)</f>
        <v>-2.3094231143458317</v>
      </c>
      <c r="C56">
        <f>(((C16+C17-2*C20)/2-4000)/1000*(C52-0.53)*(C$9-2)*0.326)</f>
        <v>-2.3094231143458317</v>
      </c>
      <c r="D56">
        <f aca="true" t="shared" si="23" ref="D56:L56">((((D16-D20)/D19)-4000)/1000*(D52-0.53)*(D$9-2)*0.326*D19)</f>
        <v>-4.618846228691663</v>
      </c>
      <c r="E56">
        <f t="shared" si="23"/>
        <v>-2.3961</v>
      </c>
      <c r="F56">
        <f t="shared" si="23"/>
        <v>-1.4376600000000002</v>
      </c>
      <c r="G56">
        <f t="shared" si="23"/>
        <v>-4.618846228691663</v>
      </c>
      <c r="H56">
        <f t="shared" si="23"/>
        <v>-0.9584400000000001</v>
      </c>
      <c r="I56">
        <f t="shared" si="23"/>
        <v>-2.3094231143458317</v>
      </c>
      <c r="J56">
        <f t="shared" si="23"/>
        <v>-3.491493218923114</v>
      </c>
      <c r="K56">
        <f t="shared" si="23"/>
        <v>4.696807701767188</v>
      </c>
      <c r="L56">
        <f t="shared" si="23"/>
        <v>-2.3094231143458317</v>
      </c>
      <c r="M56" t="e">
        <f>(((M16+M17-2*M20)/2-4000)/1000*(M52-0.53)*(M$9-2)*0.326)</f>
        <v>#NUM!</v>
      </c>
    </row>
    <row r="57" spans="1:14" ht="12.75">
      <c r="A57" t="s">
        <v>47</v>
      </c>
      <c r="B57" s="1">
        <f>((((B17-B20)/B19)-4000)/1000*(B52-0.53)*(B$9-2)*0.326*B19)</f>
        <v>-2.3094231143458317</v>
      </c>
      <c r="C57" s="1"/>
      <c r="D57" s="1">
        <f aca="true" t="shared" si="24" ref="D57:L57">((((D17-D20)/D19)-4000)/1000*(D52-0.53)*(D$9-2)*0.326*D19)</f>
        <v>-4.618846228691663</v>
      </c>
      <c r="E57" s="1">
        <f t="shared" si="24"/>
        <v>-0.47922000000000003</v>
      </c>
      <c r="F57" s="1">
        <f t="shared" si="24"/>
        <v>-2.3961</v>
      </c>
      <c r="G57" s="1">
        <f t="shared" si="24"/>
        <v>-4.618846228691663</v>
      </c>
      <c r="H57" s="1">
        <f t="shared" si="24"/>
        <v>-1.4376600000000002</v>
      </c>
      <c r="I57" s="1">
        <f t="shared" si="24"/>
        <v>-2.3094231143458317</v>
      </c>
      <c r="J57" s="1">
        <f t="shared" si="24"/>
        <v>3.22291681746749</v>
      </c>
      <c r="K57" s="1">
        <f t="shared" si="24"/>
        <v>-4.393787850040273</v>
      </c>
      <c r="L57" s="1">
        <f t="shared" si="24"/>
        <v>-2.3094231143458317</v>
      </c>
      <c r="M57" s="1"/>
      <c r="N57" s="1"/>
    </row>
    <row r="58" spans="1:13" ht="12.75">
      <c r="A58" t="s">
        <v>48</v>
      </c>
      <c r="B58">
        <f aca="true" t="shared" si="25" ref="B58:C60">IF(B54&gt;0,1,0)</f>
        <v>0</v>
      </c>
      <c r="C58">
        <f t="shared" si="25"/>
        <v>0</v>
      </c>
      <c r="D58">
        <f aca="true" t="shared" si="26" ref="D58:L58">IF(D54&gt;0,1,0)</f>
        <v>0</v>
      </c>
      <c r="E58">
        <f t="shared" si="26"/>
        <v>0</v>
      </c>
      <c r="F58">
        <f t="shared" si="26"/>
        <v>0</v>
      </c>
      <c r="G58">
        <f t="shared" si="26"/>
        <v>0</v>
      </c>
      <c r="H58">
        <f t="shared" si="26"/>
        <v>0</v>
      </c>
      <c r="I58">
        <f t="shared" si="26"/>
        <v>1</v>
      </c>
      <c r="J58">
        <f t="shared" si="26"/>
        <v>0</v>
      </c>
      <c r="K58">
        <f t="shared" si="26"/>
        <v>0</v>
      </c>
      <c r="L58">
        <f t="shared" si="26"/>
        <v>0</v>
      </c>
      <c r="M58" t="e">
        <f>IF(M54&gt;0,1,0)</f>
        <v>#NUM!</v>
      </c>
    </row>
    <row r="59" spans="1:13" ht="12.75">
      <c r="A59" t="s">
        <v>48</v>
      </c>
      <c r="B59">
        <f t="shared" si="25"/>
        <v>0</v>
      </c>
      <c r="C59">
        <f t="shared" si="25"/>
        <v>0</v>
      </c>
      <c r="D59">
        <f aca="true" t="shared" si="27" ref="D59:L59">IF(D55&gt;0,1,0)</f>
        <v>0</v>
      </c>
      <c r="E59">
        <f t="shared" si="27"/>
        <v>0</v>
      </c>
      <c r="F59">
        <f t="shared" si="27"/>
        <v>0</v>
      </c>
      <c r="G59">
        <f t="shared" si="27"/>
        <v>0</v>
      </c>
      <c r="H59">
        <f t="shared" si="27"/>
        <v>0</v>
      </c>
      <c r="I59">
        <f t="shared" si="27"/>
        <v>0</v>
      </c>
      <c r="J59">
        <f t="shared" si="27"/>
        <v>0</v>
      </c>
      <c r="K59">
        <f t="shared" si="27"/>
        <v>0</v>
      </c>
      <c r="L59">
        <f t="shared" si="27"/>
        <v>0</v>
      </c>
      <c r="M59" t="e">
        <f>IF(M55&gt;0,1,0)</f>
        <v>#NUM!</v>
      </c>
    </row>
    <row r="60" spans="1:13" ht="12.75">
      <c r="A60" t="s">
        <v>48</v>
      </c>
      <c r="B60">
        <f t="shared" si="25"/>
        <v>0</v>
      </c>
      <c r="C60">
        <f t="shared" si="25"/>
        <v>0</v>
      </c>
      <c r="D60">
        <f aca="true" t="shared" si="28" ref="D60:L60">IF(D56&gt;0,1,0)</f>
        <v>0</v>
      </c>
      <c r="E60">
        <f t="shared" si="28"/>
        <v>0</v>
      </c>
      <c r="F60">
        <f t="shared" si="28"/>
        <v>0</v>
      </c>
      <c r="G60">
        <f t="shared" si="28"/>
        <v>0</v>
      </c>
      <c r="H60">
        <f t="shared" si="28"/>
        <v>0</v>
      </c>
      <c r="I60">
        <f t="shared" si="28"/>
        <v>0</v>
      </c>
      <c r="J60">
        <f t="shared" si="28"/>
        <v>0</v>
      </c>
      <c r="K60">
        <f t="shared" si="28"/>
        <v>1</v>
      </c>
      <c r="L60">
        <f t="shared" si="28"/>
        <v>0</v>
      </c>
      <c r="M60" t="e">
        <f>IF(M56&gt;0,1,0)</f>
        <v>#NUM!</v>
      </c>
    </row>
    <row r="61" spans="1:14" ht="12.75">
      <c r="A61" t="s">
        <v>48</v>
      </c>
      <c r="B61">
        <f>IF(B57&gt;0,1,0)</f>
        <v>0</v>
      </c>
      <c r="C61" s="1"/>
      <c r="D61">
        <f aca="true" t="shared" si="29" ref="D61:L61">IF(D57&gt;0,1,0)</f>
        <v>0</v>
      </c>
      <c r="E61">
        <f t="shared" si="29"/>
        <v>0</v>
      </c>
      <c r="F61">
        <f t="shared" si="29"/>
        <v>0</v>
      </c>
      <c r="G61">
        <f t="shared" si="29"/>
        <v>0</v>
      </c>
      <c r="H61">
        <f t="shared" si="29"/>
        <v>0</v>
      </c>
      <c r="I61">
        <f t="shared" si="29"/>
        <v>0</v>
      </c>
      <c r="J61">
        <f t="shared" si="29"/>
        <v>1</v>
      </c>
      <c r="K61">
        <f t="shared" si="29"/>
        <v>0</v>
      </c>
      <c r="L61">
        <f t="shared" si="29"/>
        <v>0</v>
      </c>
      <c r="M61" s="1"/>
      <c r="N61" s="1"/>
    </row>
    <row r="62" ht="12.75">
      <c r="J62"/>
    </row>
    <row r="63" spans="1:13" ht="12.75">
      <c r="A63" t="s">
        <v>49</v>
      </c>
      <c r="B63">
        <f>((B10-6000)/1000*(B50-0.27)*(B$9-2)*0.272)</f>
        <v>-1.7768019058472346</v>
      </c>
      <c r="C63">
        <f>((C10-6000)/1000*(C50-0.27)*(C$9-2)*0.272)</f>
        <v>-1.7768019058472346</v>
      </c>
      <c r="D63">
        <f aca="true" t="shared" si="30" ref="D63:L63">((D10-6000)/1000*(D50-0.27)*(D$9-2)*0.272)</f>
        <v>-3.5536038116944693</v>
      </c>
      <c r="E63">
        <f t="shared" si="30"/>
        <v>-3.4458239768765497</v>
      </c>
      <c r="F63">
        <f t="shared" si="30"/>
        <v>-3.4458239768765497</v>
      </c>
      <c r="G63">
        <f t="shared" si="30"/>
        <v>-3.4458239768765497</v>
      </c>
      <c r="H63">
        <f t="shared" si="30"/>
        <v>-2.0510857005217553</v>
      </c>
      <c r="I63">
        <f t="shared" si="30"/>
        <v>0.15782419058472344</v>
      </c>
      <c r="J63">
        <f t="shared" si="30"/>
        <v>-2.665202858770852</v>
      </c>
      <c r="K63">
        <f t="shared" si="30"/>
        <v>-2.665202858770852</v>
      </c>
      <c r="L63">
        <f t="shared" si="30"/>
        <v>-3.110740934778872</v>
      </c>
      <c r="M63" t="e">
        <f>((M10-6000)/1000*(M50-0.27)*(M$9-2)*0.272)</f>
        <v>#NUM!</v>
      </c>
    </row>
    <row r="64" spans="2:13" ht="12.75">
      <c r="B64">
        <f>((B11-6000)/1000*(B51-0.27)*(B$9-2)*0.272)</f>
        <v>-1.2437613340930642</v>
      </c>
      <c r="C64">
        <f>((C11-6000)/1000*(C51-0.27)*(C$9-2)*0.272)</f>
        <v>-1.2437613340930642</v>
      </c>
      <c r="D64">
        <f aca="true" t="shared" si="31" ref="D64:L64">((D11-6000)/1000*(D51-0.27)*(D$9-2)*0.272)</f>
        <v>-2.4875226681861284</v>
      </c>
      <c r="E64">
        <f t="shared" si="31"/>
        <v>-3.1176502647930677</v>
      </c>
      <c r="F64">
        <f t="shared" si="31"/>
        <v>-3.1176502647930677</v>
      </c>
      <c r="G64">
        <f t="shared" si="31"/>
        <v>-3.1176502647930677</v>
      </c>
      <c r="H64">
        <f t="shared" si="31"/>
        <v>-1.8567579916103603</v>
      </c>
      <c r="I64">
        <f t="shared" si="31"/>
        <v>-2.2095386681861284</v>
      </c>
      <c r="J64">
        <f t="shared" si="31"/>
        <v>-1.8656420011395962</v>
      </c>
      <c r="K64">
        <f t="shared" si="31"/>
        <v>-1.8656420011395962</v>
      </c>
      <c r="L64">
        <f t="shared" si="31"/>
        <v>-3.314640952923617</v>
      </c>
      <c r="M64" t="e">
        <f>((M11-6000)/1000*(M51-0.27)*(M$9-2)*0.272)</f>
        <v>#NUM!</v>
      </c>
    </row>
    <row r="65" spans="2:13" ht="12.75">
      <c r="B65">
        <f>((((B16-B20)/B19)-6000)/1000*(B52-0.27)*(B$9-2)*0.272*B19)</f>
        <v>-3.314640952923617</v>
      </c>
      <c r="C65">
        <f>(((C16+C17-2*C20)/2-6000)/1000*(C52-0.27)*(C$9-2)*0.272)</f>
        <v>-3.314640952923617</v>
      </c>
      <c r="D65">
        <f aca="true" t="shared" si="32" ref="D65:L65">((((D16-D20)/D19)-6000)/1000*(D52-0.27)*(D$9-2)*0.272*D19)</f>
        <v>-6.629281905847234</v>
      </c>
      <c r="E65">
        <f t="shared" si="32"/>
        <v>-4.235040000000001</v>
      </c>
      <c r="F65">
        <f t="shared" si="32"/>
        <v>-3.29392</v>
      </c>
      <c r="G65">
        <f t="shared" si="32"/>
        <v>-6.629281905847234</v>
      </c>
      <c r="H65">
        <f t="shared" si="32"/>
        <v>-1.8822400000000001</v>
      </c>
      <c r="I65">
        <f t="shared" si="32"/>
        <v>-3.314640952923617</v>
      </c>
      <c r="J65">
        <f t="shared" si="32"/>
        <v>-6.129966575172959</v>
      </c>
      <c r="K65">
        <f t="shared" si="32"/>
        <v>1.6239210864523481</v>
      </c>
      <c r="L65">
        <f t="shared" si="32"/>
        <v>-3.314640952923617</v>
      </c>
      <c r="M65" t="e">
        <f>(((M16+M17-2*M20)/2-6000)/1000*(M52-0.27)*(M$9-2)*0.272)</f>
        <v>#NUM!</v>
      </c>
    </row>
    <row r="66" spans="1:14" ht="12.75">
      <c r="A66" s="1"/>
      <c r="B66" s="1">
        <f>((((B17-B20)/B19)-6000)/1000*(B52-0.27)*(B$9-2)*0.272*B19)</f>
        <v>-3.314640952923617</v>
      </c>
      <c r="C66" s="1"/>
      <c r="D66" s="1">
        <f aca="true" t="shared" si="33" ref="D66:L66">((((D17-D20)/D19)-6000)/1000*(D52-0.27)*(D$9-2)*0.272*D19)</f>
        <v>-6.629281905847234</v>
      </c>
      <c r="E66" s="1">
        <f t="shared" si="33"/>
        <v>-2.3528000000000002</v>
      </c>
      <c r="F66" s="1">
        <f t="shared" si="33"/>
        <v>-4.235040000000001</v>
      </c>
      <c r="G66" s="1">
        <f t="shared" si="33"/>
        <v>-6.629281905847234</v>
      </c>
      <c r="H66" s="1">
        <f t="shared" si="33"/>
        <v>-2.3528000000000002</v>
      </c>
      <c r="I66" s="1">
        <f t="shared" si="33"/>
        <v>-3.314640952923617</v>
      </c>
      <c r="J66" s="1">
        <f t="shared" si="33"/>
        <v>0.5330405717541704</v>
      </c>
      <c r="K66" s="1">
        <f t="shared" si="33"/>
        <v>-7.2338302941968236</v>
      </c>
      <c r="L66" s="1">
        <f t="shared" si="33"/>
        <v>-3.314640952923617</v>
      </c>
      <c r="M66" s="1"/>
      <c r="N66" s="1"/>
    </row>
    <row r="67" spans="1:13" ht="12.75">
      <c r="A67" t="s">
        <v>48</v>
      </c>
      <c r="B67">
        <f aca="true" t="shared" si="34" ref="B67:C69">IF(B63&gt;0,1,0)</f>
        <v>0</v>
      </c>
      <c r="C67">
        <f t="shared" si="34"/>
        <v>0</v>
      </c>
      <c r="D67">
        <f aca="true" t="shared" si="35" ref="D67:L67">IF(D63&gt;0,1,0)</f>
        <v>0</v>
      </c>
      <c r="E67">
        <f t="shared" si="35"/>
        <v>0</v>
      </c>
      <c r="F67">
        <f t="shared" si="35"/>
        <v>0</v>
      </c>
      <c r="G67">
        <f t="shared" si="35"/>
        <v>0</v>
      </c>
      <c r="H67">
        <f t="shared" si="35"/>
        <v>0</v>
      </c>
      <c r="I67">
        <f t="shared" si="35"/>
        <v>1</v>
      </c>
      <c r="J67">
        <f t="shared" si="35"/>
        <v>0</v>
      </c>
      <c r="K67">
        <f t="shared" si="35"/>
        <v>0</v>
      </c>
      <c r="L67">
        <f t="shared" si="35"/>
        <v>0</v>
      </c>
      <c r="M67" t="e">
        <f>IF(M63&gt;0,1,0)</f>
        <v>#NUM!</v>
      </c>
    </row>
    <row r="68" spans="2:13" ht="12.75">
      <c r="B68">
        <f t="shared" si="34"/>
        <v>0</v>
      </c>
      <c r="C68">
        <f t="shared" si="34"/>
        <v>0</v>
      </c>
      <c r="D68">
        <f aca="true" t="shared" si="36" ref="D68:L68">IF(D64&gt;0,1,0)</f>
        <v>0</v>
      </c>
      <c r="E68">
        <f t="shared" si="36"/>
        <v>0</v>
      </c>
      <c r="F68">
        <f t="shared" si="36"/>
        <v>0</v>
      </c>
      <c r="G68">
        <f t="shared" si="36"/>
        <v>0</v>
      </c>
      <c r="H68">
        <f t="shared" si="36"/>
        <v>0</v>
      </c>
      <c r="I68">
        <f t="shared" si="36"/>
        <v>0</v>
      </c>
      <c r="J68">
        <f t="shared" si="36"/>
        <v>0</v>
      </c>
      <c r="K68">
        <f t="shared" si="36"/>
        <v>0</v>
      </c>
      <c r="L68">
        <f t="shared" si="36"/>
        <v>0</v>
      </c>
      <c r="M68" t="e">
        <f>IF(M64&gt;0,1,0)</f>
        <v>#NUM!</v>
      </c>
    </row>
    <row r="69" spans="2:13" ht="12.75">
      <c r="B69">
        <f t="shared" si="34"/>
        <v>0</v>
      </c>
      <c r="C69">
        <f t="shared" si="34"/>
        <v>0</v>
      </c>
      <c r="D69">
        <f aca="true" t="shared" si="37" ref="D69:L69">IF(D65&gt;0,1,0)</f>
        <v>0</v>
      </c>
      <c r="E69">
        <f t="shared" si="37"/>
        <v>0</v>
      </c>
      <c r="F69">
        <f t="shared" si="37"/>
        <v>0</v>
      </c>
      <c r="G69">
        <f t="shared" si="37"/>
        <v>0</v>
      </c>
      <c r="H69">
        <f t="shared" si="37"/>
        <v>0</v>
      </c>
      <c r="I69">
        <f t="shared" si="37"/>
        <v>0</v>
      </c>
      <c r="J69">
        <f t="shared" si="37"/>
        <v>0</v>
      </c>
      <c r="K69">
        <f t="shared" si="37"/>
        <v>1</v>
      </c>
      <c r="L69">
        <f t="shared" si="37"/>
        <v>0</v>
      </c>
      <c r="M69" t="e">
        <f>IF(M65&gt;0,1,0)</f>
        <v>#NUM!</v>
      </c>
    </row>
    <row r="70" spans="2:12" ht="12.75">
      <c r="B70">
        <f>IF(B66&gt;0,1,0)</f>
        <v>0</v>
      </c>
      <c r="D70">
        <f aca="true" t="shared" si="38" ref="D70:L70">IF(D66&gt;0,1,0)</f>
        <v>0</v>
      </c>
      <c r="E70">
        <f t="shared" si="38"/>
        <v>0</v>
      </c>
      <c r="F70">
        <f t="shared" si="38"/>
        <v>0</v>
      </c>
      <c r="G70">
        <f t="shared" si="38"/>
        <v>0</v>
      </c>
      <c r="H70">
        <f t="shared" si="38"/>
        <v>0</v>
      </c>
      <c r="I70">
        <f t="shared" si="38"/>
        <v>0</v>
      </c>
      <c r="J70">
        <f t="shared" si="38"/>
        <v>1</v>
      </c>
      <c r="K70">
        <f t="shared" si="38"/>
        <v>0</v>
      </c>
      <c r="L70">
        <f t="shared" si="38"/>
        <v>0</v>
      </c>
    </row>
    <row r="71" ht="12.75">
      <c r="C71">
        <f>((C10-3000)/1000*(C50-0.27)*(C$9-2)*0.272)</f>
        <v>-0.44420047646180866</v>
      </c>
    </row>
    <row r="72" ht="12.75">
      <c r="C72">
        <f>((C11-3000)/1000*(C51-0.27)*(C$9-2)*0.272)</f>
        <v>0.08884009529236174</v>
      </c>
    </row>
    <row r="74" ht="12.75">
      <c r="C74">
        <f>IF(C71&gt;0,1,0)</f>
        <v>0</v>
      </c>
    </row>
    <row r="75" ht="12.75">
      <c r="C75">
        <f>IF(C72&gt;0,1,0)</f>
        <v>1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2003-11-21T12:33:50Z</cp:lastPrinted>
  <dcterms:created xsi:type="dcterms:W3CDTF">2003-03-31T20:07:03Z</dcterms:created>
  <dcterms:modified xsi:type="dcterms:W3CDTF">2016-06-28T06:39:08Z</dcterms:modified>
  <cp:category/>
  <cp:version/>
  <cp:contentType/>
  <cp:contentStatus/>
</cp:coreProperties>
</file>